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Temp\"/>
    </mc:Choice>
  </mc:AlternateContent>
  <xr:revisionPtr revIDLastSave="0" documentId="13_ncr:1_{D8229FB9-4622-46E4-9818-EF2DD8D0F67A}" xr6:coauthVersionLast="47" xr6:coauthVersionMax="47" xr10:uidLastSave="{00000000-0000-0000-0000-000000000000}"/>
  <bookViews>
    <workbookView xWindow="57480" yWindow="-120" windowWidth="29040" windowHeight="15720" tabRatio="905" xr2:uid="{076BC35C-3526-4B63-B7E5-8B3CBCB27E15}"/>
  </bookViews>
  <sheets>
    <sheet name="Instructions_READ FIRST" sheetId="9" r:id="rId1"/>
    <sheet name="A - Site Data and Screening" sheetId="1" r:id="rId2"/>
    <sheet name="B - 3X Bankfull" sheetId="2" r:id="rId3"/>
    <sheet name="C - Time of Concentration" sheetId="3" r:id="rId4"/>
    <sheet name="D - Rainfall Intensity" sheetId="4" r:id="rId5"/>
    <sheet name="E - Rational Equation" sheetId="6" r:id="rId6"/>
    <sheet name="F - Pipe Length" sheetId="10" r:id="rId7"/>
    <sheet name="G - Inlet Outlet Control" sheetId="8" r:id="rId8"/>
    <sheet name="H - Summary " sheetId="12" r:id="rId9"/>
  </sheets>
  <definedNames>
    <definedName name="_Toc218598633" localSheetId="5">'E - Rational Equation'!$D$3</definedName>
    <definedName name="_xlnm.Print_Area" localSheetId="8">'H - Summary '!$A$1:$E$44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6" l="1"/>
  <c r="J21" i="1"/>
  <c r="J20" i="1"/>
  <c r="B14" i="1" l="1"/>
  <c r="M50" i="8"/>
  <c r="B8" i="4"/>
  <c r="K6" i="1" l="1"/>
  <c r="K8" i="1" s="1"/>
  <c r="L8" i="1" s="1"/>
  <c r="K5" i="1"/>
  <c r="K4" i="1"/>
  <c r="B24" i="12"/>
  <c r="B30" i="12"/>
  <c r="B29" i="12"/>
  <c r="B28" i="12"/>
  <c r="E28" i="12"/>
  <c r="B7" i="10"/>
  <c r="E29" i="12" s="1"/>
  <c r="B11" i="3"/>
  <c r="E7" i="12"/>
  <c r="E6" i="12"/>
  <c r="B7" i="12"/>
  <c r="B6" i="12"/>
  <c r="B5" i="12"/>
  <c r="A3" i="12"/>
  <c r="B21" i="12"/>
  <c r="B22" i="12"/>
  <c r="E5" i="12"/>
  <c r="E22" i="12"/>
  <c r="B9" i="12"/>
  <c r="B10" i="12"/>
  <c r="B11" i="12"/>
  <c r="E9" i="12"/>
  <c r="E10" i="12"/>
  <c r="E11" i="12"/>
  <c r="E12" i="12"/>
  <c r="B14" i="12"/>
  <c r="B36" i="12"/>
  <c r="B37" i="12"/>
  <c r="B35" i="12"/>
  <c r="B33" i="12"/>
  <c r="B32" i="12"/>
  <c r="B15" i="12" l="1"/>
  <c r="B13" i="12"/>
  <c r="C19" i="1"/>
  <c r="E36" i="12" s="1"/>
  <c r="C17" i="1" l="1"/>
  <c r="C16" i="1"/>
  <c r="C15" i="1"/>
  <c r="M53" i="8"/>
  <c r="B38" i="12" s="1"/>
  <c r="B16" i="3"/>
  <c r="B88" i="4"/>
  <c r="E21" i="12" s="1"/>
  <c r="B6" i="6"/>
  <c r="B5" i="6"/>
  <c r="B87" i="4"/>
  <c r="B86" i="4"/>
  <c r="B17" i="3"/>
  <c r="B15" i="3"/>
  <c r="B8" i="3"/>
  <c r="B10" i="2"/>
  <c r="B19" i="12" s="1"/>
  <c r="B9" i="2"/>
  <c r="B18" i="12" s="1"/>
  <c r="B8" i="2"/>
  <c r="B17" i="12" s="1"/>
  <c r="B7" i="6" l="1"/>
  <c r="B18" i="3"/>
  <c r="B19" i="3" s="1"/>
  <c r="B20" i="3" s="1"/>
  <c r="B11" i="2"/>
  <c r="B12" i="2" s="1"/>
  <c r="M47" i="8" l="1"/>
  <c r="M54" i="8"/>
  <c r="M55" i="8" s="1"/>
  <c r="B78" i="8" s="1"/>
  <c r="E35" i="12"/>
  <c r="B14" i="2"/>
  <c r="E17" i="12"/>
  <c r="B25" i="12"/>
  <c r="E37" i="12" l="1"/>
  <c r="E18" i="12"/>
  <c r="E14" i="2"/>
  <c r="B79" i="8" a="1"/>
  <c r="B79" i="8" s="1"/>
  <c r="E38" i="12"/>
  <c r="B40" i="12"/>
  <c r="J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tc={5CDBE88C-1B9A-46C8-88DA-35C8DE506DB1}</author>
  </authors>
  <commentList>
    <comment ref="A20" authorId="0" shapeId="0" xr:uid="{5CDBE88C-1B9A-46C8-88DA-35C8DE506DB1}">
      <text>
        <t>[Threaded comment]
Your version of Excel allows you to read this threaded comment; however, any edits to it will get removed if the file is opened in a newer version of Excel. Learn more: https://go.microsoft.com/fwlink/?linkid=870924
Comment:
    This value is often doubled to account for overland flow as well as chanelized flow</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<sst xmlns="http://schemas.openxmlformats.org/spreadsheetml/2006/main" count="277" uniqueCount="234">
  <si>
    <t>Minor Crossing Hydrology and Pipe Sizing Tool</t>
  </si>
  <si>
    <t>DISCLAIMER</t>
  </si>
  <si>
    <r>
      <t xml:space="preserve">This spreadsheet is a </t>
    </r>
    <r>
      <rPr>
        <i/>
        <sz val="11"/>
        <color theme="1"/>
        <rFont val="Aptos Narrow"/>
        <family val="2"/>
        <scheme val="minor"/>
      </rPr>
      <t>guidance tool only</t>
    </r>
    <r>
      <rPr>
        <sz val="11"/>
        <color theme="1"/>
        <rFont val="Aptos Narrow"/>
        <family val="2"/>
        <scheme val="minor"/>
      </rPr>
      <t xml:space="preserve"> intended to support hydrologic assessment and minor culvert sizing in accordance with the methodologies outlined in Engineering Manual Sections 3.5.4 (Hydrology) and 3.5.5 (Minor Culverts). It provides calculations based on user‑supplied inputs and does </t>
    </r>
    <r>
      <rPr>
        <b/>
        <sz val="11"/>
        <color theme="1"/>
        <rFont val="Aptos Narrow"/>
        <family val="2"/>
        <scheme val="minor"/>
      </rPr>
      <t>not</t>
    </r>
    <r>
      <rPr>
        <sz val="11"/>
        <color theme="1"/>
        <rFont val="Aptos Narrow"/>
        <family val="2"/>
        <scheme val="minor"/>
      </rPr>
      <t xml:space="preserve"> replace professional judgment, field validation, or detailed engineering analysis. Users are responsible for verifying all inputs, assumptions, and results, and ensuring that the final design complies with applicable regulations, standards, and site‑specific conditions.</t>
    </r>
  </si>
  <si>
    <r>
      <t xml:space="preserve">The authors and the organization make </t>
    </r>
    <r>
      <rPr>
        <b/>
        <sz val="11"/>
        <color theme="1"/>
        <rFont val="Aptos Narrow"/>
        <family val="2"/>
        <scheme val="minor"/>
      </rPr>
      <t>no warranties or guarantees</t>
    </r>
    <r>
      <rPr>
        <sz val="11"/>
        <color theme="1"/>
        <rFont val="Aptos Narrow"/>
        <family val="2"/>
        <scheme val="minor"/>
      </rPr>
      <t>, express or implied, regarding the accuracy, completeness, or suitability of this tool for any specific project. By using this spreadsheet, the user accepts all responsibility for design decisions and outcomes.</t>
    </r>
  </si>
  <si>
    <t>LIMITATIONS</t>
  </si>
  <si>
    <t>BACKGROUND</t>
  </si>
  <si>
    <t>WORKFLOW</t>
  </si>
  <si>
    <t>Green Cells - User Input</t>
  </si>
  <si>
    <t>Orange Cells - Calculations</t>
  </si>
  <si>
    <t>Blue Cells - Results</t>
  </si>
  <si>
    <t>B – 3X Bankfull - Crossing site level analysis natural channel, before pipe</t>
  </si>
  <si>
    <t>Input field ‑ measured bankfull width and depth.
The tool uses these measurements to calculate the culvert area required under the 3X bankfull method.</t>
  </si>
  <si>
    <t>C – Time of Concentration</t>
  </si>
  <si>
    <t xml:space="preserve">There are several methods suggested, and there is no one accepted method. Always consider local knowledge of drainage behaviour and select or calculate the appropriate time of concentration (ToC) using the methods provided in the tool. </t>
  </si>
  <si>
    <t>D – Rainfall Intensity</t>
  </si>
  <si>
    <t>Obtain rainfall‑intensity values from IDF‑CC to support peak‑flow calculations.
A direct link to the IDF‑CC dataset is included on this page.</t>
  </si>
  <si>
    <t>E – Rational Equation - Catchment-scale peak flow analysis</t>
  </si>
  <si>
    <t>F – Pipe Length</t>
  </si>
  <si>
    <t>Calculate the required pipe length based on pipe diameter, road width, fill depth, and skew angle.</t>
  </si>
  <si>
    <t>G – Inlet/Outlet Control - Hydraulic analysis with pipe in place</t>
  </si>
  <si>
    <t>Evaluate inlet and outlet control conditions using the included nomographs.
Confirm the pipe size required to meet performance criteria under peak‑flow conditions.</t>
  </si>
  <si>
    <t>Review key outputs, diagrams, and the final culvert recommendation in one consolidated section. The page is set up to be printed.</t>
  </si>
  <si>
    <t>FEEDBACK</t>
  </si>
  <si>
    <t>Please direct feedback or questions to Sasha.Ward@gov.bc.ca</t>
  </si>
  <si>
    <t>District</t>
  </si>
  <si>
    <t>NICC</t>
  </si>
  <si>
    <t>Analysis by</t>
  </si>
  <si>
    <t>S. Ward P.Eng. RPF</t>
  </si>
  <si>
    <t>Analysis date</t>
  </si>
  <si>
    <t>Checked by</t>
  </si>
  <si>
    <t>J. Harvey P.Eng.</t>
  </si>
  <si>
    <t>Checked date</t>
  </si>
  <si>
    <t>PART A: Site Data</t>
  </si>
  <si>
    <t>Site Parameter</t>
  </si>
  <si>
    <t>Value</t>
  </si>
  <si>
    <t>FSR Name and Station</t>
  </si>
  <si>
    <t>No Name FSR 1.456km</t>
  </si>
  <si>
    <t>Latitude</t>
  </si>
  <si>
    <t>50°37'51.89"N</t>
  </si>
  <si>
    <t>Longitude</t>
  </si>
  <si>
    <t>128°12'11.3"W</t>
  </si>
  <si>
    <t>Design Life (years)</t>
  </si>
  <si>
    <t>Upstream catchment area (drainage area) (ha)</t>
  </si>
  <si>
    <t>Upstream catchment area (drainage area) (km²)</t>
  </si>
  <si>
    <t>Longest channel path (m)</t>
  </si>
  <si>
    <t>Highest elevation of drainage (m)</t>
  </si>
  <si>
    <t>Crossing elevation (m)</t>
  </si>
  <si>
    <t>Catchment and channel drawn in Google Earth</t>
  </si>
  <si>
    <t>Average stream gradient (%)</t>
  </si>
  <si>
    <t>Stream gradient 100 m upstream of crossing (%)</t>
  </si>
  <si>
    <t>Catchment Length (km)</t>
  </si>
  <si>
    <t>Geomorphic Hazard</t>
  </si>
  <si>
    <t>Alluvial Fan</t>
  </si>
  <si>
    <t>Locating a road across an alluvial fan increases the risk of a debris flow at water crossing sites.</t>
  </si>
  <si>
    <t>Road water crossings on gullied streams can increase the risk of slope instability or debris flows at the crossings.</t>
  </si>
  <si>
    <r>
      <rPr>
        <b/>
        <sz val="11"/>
        <color rgb="FF000000"/>
        <rFont val="Aptos Narrow"/>
        <family val="2"/>
        <scheme val="minor"/>
      </rPr>
      <t xml:space="preserve">PART B: 3X Bankfull Method
</t>
    </r>
    <r>
      <rPr>
        <sz val="11"/>
        <color rgb="FF000000"/>
        <rFont val="Aptos Narrow"/>
        <family val="2"/>
        <scheme val="minor"/>
      </rPr>
      <t>Note: must be completed with field measurements</t>
    </r>
  </si>
  <si>
    <r>
      <t>Pipe Cross Sectional Area (m</t>
    </r>
    <r>
      <rPr>
        <b/>
        <vertAlign val="superscript"/>
        <sz val="11"/>
        <color theme="1"/>
        <rFont val="Aptos Narrow"/>
        <family val="2"/>
        <scheme val="minor"/>
      </rPr>
      <t>2</t>
    </r>
    <r>
      <rPr>
        <b/>
        <sz val="11"/>
        <color theme="1"/>
        <rFont val="Aptos Narrow"/>
        <family val="2"/>
        <scheme val="minor"/>
      </rPr>
      <t>)</t>
    </r>
  </si>
  <si>
    <t>Pipe Diameter 
(mm)</t>
  </si>
  <si>
    <t>Site 1</t>
  </si>
  <si>
    <t>Site 2</t>
  </si>
  <si>
    <t>Site 3</t>
  </si>
  <si>
    <t>Site 4</t>
  </si>
  <si>
    <t>Site 5</t>
  </si>
  <si>
    <t>Distance upstream from crossing (m)</t>
  </si>
  <si>
    <r>
      <t>W</t>
    </r>
    <r>
      <rPr>
        <vertAlign val="subscript"/>
        <sz val="11"/>
        <color theme="1"/>
        <rFont val="Aptos Narrow"/>
        <family val="2"/>
        <scheme val="minor"/>
      </rPr>
      <t>1</t>
    </r>
    <r>
      <rPr>
        <sz val="11"/>
        <color theme="1"/>
        <rFont val="Aptos Narrow"/>
        <family val="2"/>
        <scheme val="minor"/>
      </rPr>
      <t xml:space="preserve"> (high water width) (m)</t>
    </r>
  </si>
  <si>
    <r>
      <t>W</t>
    </r>
    <r>
      <rPr>
        <vertAlign val="subscript"/>
        <sz val="11"/>
        <color theme="1"/>
        <rFont val="Aptos Narrow"/>
        <family val="2"/>
        <scheme val="minor"/>
      </rPr>
      <t>2</t>
    </r>
    <r>
      <rPr>
        <sz val="11"/>
        <color theme="1"/>
        <rFont val="Aptos Narrow"/>
        <family val="2"/>
        <scheme val="minor"/>
      </rPr>
      <t xml:space="preserve"> (bottom width) (m)</t>
    </r>
  </si>
  <si>
    <t>D (depth) (m)</t>
  </si>
  <si>
    <r>
      <t>Average W</t>
    </r>
    <r>
      <rPr>
        <vertAlign val="subscript"/>
        <sz val="11"/>
        <color theme="1"/>
        <rFont val="Aptos Narrow"/>
        <family val="2"/>
        <scheme val="minor"/>
      </rPr>
      <t>1</t>
    </r>
    <r>
      <rPr>
        <sz val="11"/>
        <color theme="1"/>
        <rFont val="Aptos Narrow"/>
        <family val="2"/>
        <scheme val="minor"/>
      </rPr>
      <t xml:space="preserve"> (m)</t>
    </r>
  </si>
  <si>
    <r>
      <t>Average W</t>
    </r>
    <r>
      <rPr>
        <vertAlign val="subscript"/>
        <sz val="11"/>
        <color theme="1"/>
        <rFont val="Aptos Narrow"/>
        <family val="2"/>
        <scheme val="minor"/>
      </rPr>
      <t>2</t>
    </r>
    <r>
      <rPr>
        <sz val="11"/>
        <color theme="1"/>
        <rFont val="Aptos Narrow"/>
        <family val="2"/>
        <scheme val="minor"/>
      </rPr>
      <t xml:space="preserve"> (m)</t>
    </r>
  </si>
  <si>
    <t>Average D (m)</t>
  </si>
  <si>
    <t>A Cross-Sectional Area (m²)</t>
  </si>
  <si>
    <t>3X Cross-Sectional Area (m²)</t>
  </si>
  <si>
    <t>Equivalent pipe diameter (mm)</t>
  </si>
  <si>
    <t>PART C: Time of Concentration (ToC)</t>
  </si>
  <si>
    <t>Time of Concentration (ToC) is the estimated time required for runoff originating at the most distant point in the drainage area to travel to the outlet (the crossing site). In other words, it represents how long it takes for the entire contributory area to respond to a rainfall event.
ToC is an estimated parameter, and its selection requires professional judgment by the crossing designer.</t>
  </si>
  <si>
    <r>
      <rPr>
        <b/>
        <sz val="11"/>
        <color theme="1"/>
        <rFont val="Aptos Narrow"/>
        <family val="2"/>
        <scheme val="minor"/>
      </rPr>
      <t xml:space="preserve">Method 1 </t>
    </r>
    <r>
      <rPr>
        <sz val="11"/>
        <color theme="1"/>
        <rFont val="Aptos Narrow"/>
        <family val="2"/>
        <scheme val="minor"/>
      </rPr>
      <t>- For a small catchment (less than 5 km²)</t>
    </r>
  </si>
  <si>
    <t>ToC (mins)</t>
  </si>
  <si>
    <t>Site description</t>
  </si>
  <si>
    <t>Slope</t>
  </si>
  <si>
    <t>Flat</t>
  </si>
  <si>
    <r>
      <rPr>
        <sz val="11"/>
        <color theme="1"/>
        <rFont val="Aptos Narrow"/>
        <family val="2"/>
      </rPr>
      <t>√</t>
    </r>
    <r>
      <rPr>
        <sz val="11"/>
        <color theme="1"/>
        <rFont val="Aptos Narrow"/>
        <family val="2"/>
        <scheme val="minor"/>
      </rPr>
      <t>A</t>
    </r>
  </si>
  <si>
    <t>Rolling</t>
  </si>
  <si>
    <t>Use table for appropriate site description</t>
  </si>
  <si>
    <t>Moderate</t>
  </si>
  <si>
    <t>ToC (hours)</t>
  </si>
  <si>
    <t>Steep</t>
  </si>
  <si>
    <t>&gt;10%</t>
  </si>
  <si>
    <r>
      <rPr>
        <b/>
        <sz val="11"/>
        <color theme="1"/>
        <rFont val="Aptos Narrow"/>
        <family val="2"/>
        <scheme val="minor"/>
      </rPr>
      <t>Method 3 -</t>
    </r>
    <r>
      <rPr>
        <sz val="11"/>
        <color theme="1"/>
        <rFont val="Aptos Narrow"/>
        <family val="2"/>
        <scheme val="minor"/>
      </rPr>
      <t xml:space="preserve"> Kirpich Time of Concentration</t>
    </r>
  </si>
  <si>
    <t>ToC = 0.00032 × L⁰·⁷⁷ × S⁻⁰·³⁸⁵</t>
  </si>
  <si>
    <t>S - Average stream gradient (%)</t>
  </si>
  <si>
    <t>H - Highest elevation of drainage (m)</t>
  </si>
  <si>
    <t>ToC (minutes)</t>
  </si>
  <si>
    <t>2 x ToC (minutes)</t>
  </si>
  <si>
    <t>Consider the region and topography of the crossing site.
Stream discharge in steep coastal catchments is generally more sensitive to changes in Time of Concentration (ToC) than discharge in flat or rolling interior catchments.
For flashy coastal sites, consider selecting a ToC value larger than the Kirpich estimate, but smaller than the values derived from Methods 1 and/or 2.</t>
  </si>
  <si>
    <t>Selected Time of Concentration Method</t>
  </si>
  <si>
    <t>Method 1</t>
  </si>
  <si>
    <t>Selected Time of Concentration (ToC) (minutes)</t>
  </si>
  <si>
    <t>Computerized IDF_CC Tool for the Development of Intensity-Duration-Frequency Curves under a Changing Climate</t>
  </si>
  <si>
    <t>Design life of the structure</t>
  </si>
  <si>
    <t>Time of Concentration under SSP5.85</t>
  </si>
  <si>
    <r>
      <t>Design Flow for Design Life (Q</t>
    </r>
    <r>
      <rPr>
        <vertAlign val="subscript"/>
        <sz val="11"/>
        <color theme="1"/>
        <rFont val="Aptos Narrow"/>
        <family val="2"/>
        <scheme val="minor"/>
      </rPr>
      <t>100</t>
    </r>
    <r>
      <rPr>
        <sz val="11"/>
        <color theme="1"/>
        <rFont val="Aptos Narrow"/>
        <family val="2"/>
        <scheme val="minor"/>
      </rPr>
      <t>, Q</t>
    </r>
    <r>
      <rPr>
        <vertAlign val="subscript"/>
        <sz val="11"/>
        <color theme="1"/>
        <rFont val="Aptos Narrow"/>
        <family val="2"/>
        <scheme val="minor"/>
      </rPr>
      <t>10</t>
    </r>
    <r>
      <rPr>
        <sz val="11"/>
        <color theme="1"/>
        <rFont val="Aptos Narrow"/>
        <family val="2"/>
        <scheme val="minor"/>
      </rPr>
      <t>, Q</t>
    </r>
    <r>
      <rPr>
        <vertAlign val="subscript"/>
        <sz val="11"/>
        <color theme="1"/>
        <rFont val="Aptos Narrow"/>
        <family val="2"/>
        <scheme val="minor"/>
      </rPr>
      <t>3</t>
    </r>
    <r>
      <rPr>
        <sz val="11"/>
        <color theme="1"/>
        <rFont val="Aptos Narrow"/>
        <family val="2"/>
        <scheme val="minor"/>
      </rPr>
      <t>)</t>
    </r>
  </si>
  <si>
    <t>Rainfall Intensity Rate (mm/h)</t>
  </si>
  <si>
    <t>PART E: Rational Equation</t>
  </si>
  <si>
    <t>Runoff Coefficient (from table)</t>
  </si>
  <si>
    <t>Runoff Coefficient by Ground Type</t>
  </si>
  <si>
    <t>Site-Specific Additional Factors (from table)</t>
  </si>
  <si>
    <t>Description</t>
  </si>
  <si>
    <t>Impermeable</t>
  </si>
  <si>
    <t>Forested</t>
  </si>
  <si>
    <t>Rainfall Intensity (mm/h)</t>
  </si>
  <si>
    <t>Mountain (&gt;30%)</t>
  </si>
  <si>
    <t>Upstream Catchment Area (ha)</t>
  </si>
  <si>
    <t>Steep slope (20-30%)</t>
  </si>
  <si>
    <t>Design Flow Rate (m³/s)</t>
  </si>
  <si>
    <t>Moderate slope (10-20%)</t>
  </si>
  <si>
    <t>Rolling terrain (5-10%)</t>
  </si>
  <si>
    <t>Flat (&lt;5%)</t>
  </si>
  <si>
    <t>Site-Specific Additional Factors</t>
  </si>
  <si>
    <t>Return period 10-25 years</t>
  </si>
  <si>
    <t>Return period &gt;25 years</t>
  </si>
  <si>
    <t>Snowmelt</t>
  </si>
  <si>
    <t>PART F: Pipe Length</t>
  </si>
  <si>
    <t>Pipe Diameter (mm)</t>
  </si>
  <si>
    <t>Inside diameter of the pipe</t>
  </si>
  <si>
    <t>Fill Depth over Pipe (m)</t>
  </si>
  <si>
    <t>Vertical depth from road surface to top of pipe</t>
  </si>
  <si>
    <t>Road Width (m)</t>
  </si>
  <si>
    <t>Width of the road (assumed perpendicular to the road centerline)</t>
  </si>
  <si>
    <t>Skew Angle (degrees)</t>
  </si>
  <si>
    <t>Angle between pipe centreline and road centreline (0° = pipe perpendicular to road)</t>
  </si>
  <si>
    <t>Minimum Pipe Length (m)</t>
  </si>
  <si>
    <t>PART G: Inlet /Outlet Control</t>
  </si>
  <si>
    <r>
      <rPr>
        <sz val="11"/>
        <color theme="1"/>
        <rFont val="Aptos Narrow"/>
        <family val="2"/>
        <scheme val="minor"/>
      </rPr>
      <t xml:space="preserve">Water flowing through a culvert can behave in two different ways. To confirm that the culvert diameter selected using the 3X Bankfull Method can handle the design flow, both flow regimes must be checked.
</t>
    </r>
    <r>
      <rPr>
        <b/>
        <sz val="11"/>
        <color theme="1"/>
        <rFont val="Aptos Narrow"/>
        <family val="2"/>
        <scheme val="minor"/>
      </rPr>
      <t>Inlet Control</t>
    </r>
    <r>
      <rPr>
        <sz val="11"/>
        <color theme="1"/>
        <rFont val="Aptos Narrow"/>
        <family val="2"/>
        <scheme val="minor"/>
      </rPr>
      <t xml:space="preserve">
Flow is limited by how easily water can enter the culvert. The culvert barrel itself is not restricting the flow; the inlet shape and size are.
</t>
    </r>
    <r>
      <rPr>
        <b/>
        <sz val="11"/>
        <color theme="1"/>
        <rFont val="Aptos Narrow"/>
        <family val="2"/>
        <scheme val="minor"/>
      </rPr>
      <t>Outlet Control</t>
    </r>
    <r>
      <rPr>
        <sz val="11"/>
        <color theme="1"/>
        <rFont val="Aptos Narrow"/>
        <family val="2"/>
        <scheme val="minor"/>
      </rPr>
      <t xml:space="preserve">
Flow is limited by conditions at the outlet, such as tailwater depth (pooling), and is influenced by the culvert’s slope and length.
This section outlines tests used to confirm that the selected round culvert diameter can hydraulically pass the design discharge.
The minimum standard for both inlet and outlet control is: </t>
    </r>
    <r>
      <rPr>
        <b/>
        <sz val="11"/>
        <color theme="1"/>
        <rFont val="Aptos Narrow"/>
        <family val="2"/>
        <scheme val="minor"/>
      </rPr>
      <t xml:space="preserve">HW/D &lt; 1
STEP 1: Inlet Control Test
</t>
    </r>
    <r>
      <rPr>
        <sz val="11"/>
        <color theme="1"/>
        <rFont val="Aptos Narrow"/>
        <family val="2"/>
        <scheme val="minor"/>
      </rPr>
      <t>1. Start with the culvert diameter obtained from the 3X Bankfull analysis.
2. On the inlet control chart, draw a line from this diameter through the design flow rate (Discharge).
3. Where this line intersects the HW/D column, read the HW/D value.
4. If the value is greater than the design standard (HW/D &lt; 1), repeat the test using the next larger culvert diameter.</t>
    </r>
  </si>
  <si>
    <t>Discharge (m³/s)</t>
  </si>
  <si>
    <t>Chosen Values from Nomographs</t>
  </si>
  <si>
    <t>Culvert diameter (mm)</t>
  </si>
  <si>
    <t>HW/D</t>
  </si>
  <si>
    <r>
      <rPr>
        <b/>
        <sz val="11"/>
        <color theme="1"/>
        <rFont val="Aptos Narrow"/>
        <family val="2"/>
        <scheme val="minor"/>
      </rPr>
      <t>STEP 2: Outlet Control Test</t>
    </r>
    <r>
      <rPr>
        <sz val="11"/>
        <color theme="1"/>
        <rFont val="Aptos Narrow"/>
        <family val="2"/>
        <scheme val="minor"/>
      </rPr>
      <t xml:space="preserve">
1. Using the culvert diameter from the 3X Bankfull analysis and the design discharge (Q), determine the critical depth (Ycr) from the outlet‑control nomograph (figure 2). Draw a line from the discharge (Q) to the diameter (D) and extend it to the Pivot Line. Draw a horizontal line from the pivot line intersection, then read the corresponding Ycr value.
2. Select a reasonable length (L) and slope for the culvert, based on anticipated fill depth, road width and topography. 
3. Use the outlet‑control nomograph (figure 3) to determine the Head (H):
  - Draw a line from the chosen diameter to the selected culvert length (L) on the arc.
  - Draw a second line from the design discharge (Q) to the turning line at the same intersection point as the first line. Extend this second line through to obtain the head loss (H).</t>
    </r>
  </si>
  <si>
    <t>Ycr (m) (figure 2)</t>
  </si>
  <si>
    <t>Pipe Length (m)</t>
  </si>
  <si>
    <t>Pipe Slope (%)</t>
  </si>
  <si>
    <t>Head (m) (figure 3)</t>
  </si>
  <si>
    <t>h₀ (tailwater term) (m)</t>
  </si>
  <si>
    <t>HW</t>
  </si>
  <si>
    <r>
      <rPr>
        <b/>
        <sz val="11"/>
        <color theme="1"/>
        <rFont val="Aptos Narrow"/>
        <family val="2"/>
        <scheme val="minor"/>
      </rPr>
      <t>STEP 3: Compare Inlet and Outlet Results</t>
    </r>
    <r>
      <rPr>
        <sz val="11"/>
        <color theme="1"/>
        <rFont val="Aptos Narrow"/>
        <family val="2"/>
        <scheme val="minor"/>
      </rPr>
      <t xml:space="preserve">
1. If HW/D from both Inlet Control and Outlet control are less than design standard, the diameter used in tests is of adequate size.</t>
    </r>
  </si>
  <si>
    <t>Controlling Flow Regime</t>
  </si>
  <si>
    <t>Minimum Culvert Diameter to Meet HW/D &lt; 1 Standard (mm)</t>
  </si>
  <si>
    <t>This section does not provide a detailed or quantitative probability assessment. 
It is a screening tool that compares three catchment‑level factors to highlight where conditions may combine to increase the likelihood of a debris‑flow or flood event.</t>
  </si>
  <si>
    <t>Landform Type</t>
  </si>
  <si>
    <t>Melton Ratio</t>
  </si>
  <si>
    <t>Probable Event Type</t>
  </si>
  <si>
    <t>Catchment length (km)</t>
  </si>
  <si>
    <t>Landform</t>
  </si>
  <si>
    <t xml:space="preserve">0 - 2.7 </t>
  </si>
  <si>
    <t>&gt; 0.6</t>
  </si>
  <si>
    <t>Debris Flow</t>
  </si>
  <si>
    <t xml:space="preserve">&gt; 2.7 </t>
  </si>
  <si>
    <t>0.3 &lt; M &lt; 0.6</t>
  </si>
  <si>
    <t>Debris Flood</t>
  </si>
  <si>
    <t>Any</t>
  </si>
  <si>
    <t>&lt; 0.3</t>
  </si>
  <si>
    <t>Clear Flow Flood</t>
  </si>
  <si>
    <t>Minor Crossing Hydrology and Pipe Sizing</t>
  </si>
  <si>
    <t>Ministry of Forest - Engineering Branch</t>
  </si>
  <si>
    <t>Upstream drainage area (km²)</t>
  </si>
  <si>
    <t>Stream gradient upstream of crossing (%)</t>
  </si>
  <si>
    <t>B - 3X Bankfull</t>
  </si>
  <si>
    <t>3X Cross sectional area (m²)</t>
  </si>
  <si>
    <t>Required Pipe Size from 3X Bankfull</t>
  </si>
  <si>
    <t>Selected ToC Method</t>
  </si>
  <si>
    <t>Design Flow Period</t>
  </si>
  <si>
    <t>Selected ToC (minutes)</t>
  </si>
  <si>
    <t>E – Rational Equation</t>
  </si>
  <si>
    <t>Runoff Coefficient</t>
  </si>
  <si>
    <r>
      <t>Peak Discharge (m</t>
    </r>
    <r>
      <rPr>
        <vertAlign val="superscript"/>
        <sz val="11"/>
        <color theme="1"/>
        <rFont val="Aptos Narrow"/>
        <family val="2"/>
        <scheme val="minor"/>
      </rPr>
      <t>3</t>
    </r>
    <r>
      <rPr>
        <sz val="11"/>
        <color theme="1"/>
        <rFont val="Aptos Narrow"/>
        <family val="2"/>
        <scheme val="minor"/>
      </rPr>
      <t>/s)</t>
    </r>
  </si>
  <si>
    <t>F – Culvert Length</t>
  </si>
  <si>
    <t>G - Inlet Control</t>
  </si>
  <si>
    <t>Pipe diameter  (mm)</t>
  </si>
  <si>
    <t>High water / Diameter (Hw/D)</t>
  </si>
  <si>
    <t>G - Outlet Control</t>
  </si>
  <si>
    <t>Critical Depth (m)</t>
  </si>
  <si>
    <t>Estimated length of pipe (m)</t>
  </si>
  <si>
    <t>Slope of Pipe Barrel</t>
  </si>
  <si>
    <t>Head Loss H (m)</t>
  </si>
  <si>
    <t>Hw</t>
  </si>
  <si>
    <t>Tailwater Term h₀ (m)</t>
  </si>
  <si>
    <t>G - Pipe Control</t>
  </si>
  <si>
    <t>Limiting Flow Regime of Pipe</t>
  </si>
  <si>
    <t>Prescribed Pipe Diameter (mm)</t>
  </si>
  <si>
    <t>Prescribed Pipe Length (m)</t>
  </si>
  <si>
    <r>
      <t xml:space="preserve">This minor round culvert hydrology calculation tool uses site data collected from field surveys and catchment information from maps and geospatial tools to determine suitable round culvert pipe size using three methods. Each method examines the crossing from a different perspective. Peak Flow Discharge incorporates SSP5.85 to address climate change.
</t>
    </r>
    <r>
      <rPr>
        <b/>
        <sz val="11"/>
        <color theme="1"/>
        <rFont val="Aptos Narrow"/>
        <family val="2"/>
        <scheme val="minor"/>
      </rPr>
      <t>Items B, C, E and G (above) must all be applied for the assessment to be considered complete and defensible. Omitting any method reduces the reliability of the analysis.</t>
    </r>
  </si>
  <si>
    <t>Comments:</t>
  </si>
  <si>
    <t>PURPOSE</t>
  </si>
  <si>
    <t>PART A1: Geomorphic Hazard</t>
  </si>
  <si>
    <t>PART A2: Site Screening</t>
  </si>
  <si>
    <t>This tool leads small crossing designers through a series of analyses to assist in making the following decisions:</t>
  </si>
  <si>
    <t>* how do the upstream catchment characteristics and local rainfall data translate into a design discharge at the crossing site?</t>
  </si>
  <si>
    <t>* how do the site specific physical characteristics of the stream close to the crossing site translate into a proposed culvert size?</t>
  </si>
  <si>
    <t>* can the proposed culvert size handle the design discharge under the conditions likely to be present at the crossing?</t>
  </si>
  <si>
    <t>This spreadsheet guides designers through a structured method for assessing stream‑crossing sites and sizing minor culverts. The workflow examines three aspects of crossing design; site specific information, catchment, rainfall and discharge information, and hydraulic flow analysis. All three methods must be applied for the assessment to be considered complete and defensible. If all three analyses are not complete, the crossing design risks not being compliant with FPPR Regulation Sec 74.</t>
  </si>
  <si>
    <r>
      <rPr>
        <b/>
        <sz val="11"/>
        <color theme="1"/>
        <rFont val="Aptos Narrow"/>
        <family val="2"/>
        <scheme val="minor"/>
      </rPr>
      <t xml:space="preserve">2. Rational Method - Catchment‑Scale Hydrologic Analysis
</t>
    </r>
    <r>
      <rPr>
        <sz val="11"/>
        <color theme="1"/>
        <rFont val="Aptos Narrow"/>
        <family val="2"/>
        <scheme val="minor"/>
      </rPr>
      <t>This approach evaluates the entire contributing catchment (drainage area). It estimates how quickly runoff reaches the crossing (time of concentration) and the volume of flow generated during peak rainfall events.
By incorporating drainage area size, slope, land cover, and rainfall intensity, this method provides a measure of how “flashy” the stream can be during storm events. It is necessary to estimate design flow (storm or flood) discharge in order to comply with Sec 74 FPPR.</t>
    </r>
  </si>
  <si>
    <r>
      <rPr>
        <b/>
        <sz val="11"/>
        <color theme="1"/>
        <rFont val="Aptos Narrow"/>
        <family val="2"/>
        <scheme val="minor"/>
      </rPr>
      <t xml:space="preserve">3. Inlet/Outlet Control Analysis - Hydraulic Performance of the Proposed Culvert
</t>
    </r>
    <r>
      <rPr>
        <sz val="11"/>
        <color theme="1"/>
        <rFont val="Aptos Narrow"/>
        <family val="2"/>
        <scheme val="minor"/>
      </rPr>
      <t>This method tests whether the proposed culvert diameter from Method 1 can handle the peak flow discharge calculated in Method 2 by evaluating how water will move through the selected pipe under peak‑flow conditions. Using inlet and outlet control equations and nomographs, it predicts flow capacity and the likely hydraulic condition during design storms. Designers must compare these predicted conditions against the applicable design standards to determine whether the proposed culvert is acceptable.</t>
    </r>
  </si>
  <si>
    <t>A – Site Data and Screening</t>
  </si>
  <si>
    <r>
      <t xml:space="preserve">1. 3X Bankfull Method - Channel‑Based Assessment
</t>
    </r>
    <r>
      <rPr>
        <sz val="11"/>
        <color theme="1"/>
        <rFont val="Aptos Narrow"/>
        <family val="2"/>
        <scheme val="minor"/>
      </rPr>
      <t>This method focuses on the natural channel geometry immediately upstream of the crossing. It uses measured bankfull dimensions to estimate the required culvert area.
However, because it does not account for upstream drainage area characteristics, it must not be used as the sole sizing method for crossings that are expected to require pipe diameters 800 mm or larger.</t>
    </r>
    <r>
      <rPr>
        <b/>
        <sz val="11"/>
        <color theme="1"/>
        <rFont val="Aptos Narrow"/>
        <family val="2"/>
        <scheme val="minor"/>
      </rPr>
      <t xml:space="preserve"> This tool will caution designers if site characteristics will require a pipe diameter associated with a major crossing.</t>
    </r>
  </si>
  <si>
    <t>If any warnings appear in these cells, the use of this tool for culvert design may not be appropriate or adequate</t>
  </si>
  <si>
    <t>H - Summary</t>
  </si>
  <si>
    <t>A1- Geomorphic Hazard</t>
  </si>
  <si>
    <t>Catchment size warning:</t>
  </si>
  <si>
    <t>Geomorphic hazard warning:</t>
  </si>
  <si>
    <t>Leave unused cells blank, do not enter zeros</t>
  </si>
  <si>
    <r>
      <rPr>
        <b/>
        <sz val="11"/>
        <color theme="1"/>
        <rFont val="Aptos Narrow"/>
        <family val="2"/>
        <scheme val="minor"/>
      </rPr>
      <t>Method 2  -</t>
    </r>
    <r>
      <rPr>
        <sz val="11"/>
        <color theme="1"/>
        <rFont val="Aptos Narrow"/>
        <family val="2"/>
        <scheme val="minor"/>
      </rPr>
      <t xml:space="preserve"> For a catchment up to 10 km² </t>
    </r>
    <r>
      <rPr>
        <sz val="11"/>
        <color rgb="FFFF0000"/>
        <rFont val="Aptos Narrow"/>
        <family val="2"/>
        <scheme val="minor"/>
      </rPr>
      <t xml:space="preserve"> ** Click on the orange lines and move accordingly</t>
    </r>
  </si>
  <si>
    <t xml:space="preserve">PART D: Rainfall Intensity </t>
  </si>
  <si>
    <t>This is a free web tool, register and set up your account.</t>
  </si>
  <si>
    <t>Select "IDFs for ungauged locations". Zoom in and click on the map at your crossing location.</t>
  </si>
  <si>
    <t>Click on the tab "SSP5.85" and toggle "Intensity rates (mm/h)"</t>
  </si>
  <si>
    <t>For Methodology Choose Clausius Clapeyron scaling (temperature) it should default to a cc rate of 7%- keep this.</t>
  </si>
  <si>
    <t>Keep default for all models.</t>
  </si>
  <si>
    <t>Click Continue</t>
  </si>
  <si>
    <t xml:space="preserve">Click on the tab "IDF under climate change" and move the slider to the design life of the structure. </t>
  </si>
  <si>
    <t>has chosen SSP 5.85 as our design standard.</t>
  </si>
  <si>
    <r>
      <rPr>
        <sz val="11"/>
        <color rgb="FFFF0000"/>
        <rFont val="Aptos Narrow"/>
        <family val="2"/>
        <scheme val="minor"/>
      </rPr>
      <t>Choose SSP 5.85</t>
    </r>
    <r>
      <rPr>
        <sz val="11"/>
        <color theme="1"/>
        <rFont val="Aptos Narrow"/>
        <family val="2"/>
        <scheme val="minor"/>
      </rPr>
      <t xml:space="preserve"> (this is the Representative Concentration Pathway, or the emissions scenario, Engineering Branch </t>
    </r>
  </si>
  <si>
    <t>Choose Intensity rate (mm/h)</t>
  </si>
  <si>
    <t>* is the crossing potentially unstable? Should a terrain specialist be involved in design?</t>
  </si>
  <si>
    <r>
      <t>* Catchment area less than 10 km</t>
    </r>
    <r>
      <rPr>
        <vertAlign val="superscript"/>
        <sz val="11"/>
        <color theme="1"/>
        <rFont val="Aptos Narrow"/>
        <family val="2"/>
        <scheme val="minor"/>
      </rPr>
      <t>2</t>
    </r>
  </si>
  <si>
    <t>* The pipe‑length calculation is based on a maximum allowable road grade of 12%.</t>
  </si>
  <si>
    <t>* A maximum pipe skew angle of 30° is supported.</t>
  </si>
  <si>
    <t>* All hydraulic calculations assume pipes are protruding from the fill (i.e., no bevels, no headwalls, and no inlet treatments). Improved inlet structures may increase hydraulic capacity but are not accounted for in this tool.</t>
  </si>
  <si>
    <t>* This tool is not intended for application on fish‑bearing streams. Refer to the Fish Stream Crossing Guidebook for suitable design guidance.</t>
  </si>
  <si>
    <t>* Pipe length assumes a fill slope of 1.5H:1.0V.</t>
  </si>
  <si>
    <r>
      <t xml:space="preserve">Enter all required physical, hydrologic, and geographic information.
Use Google Earth and/or iMap to determine drainage area, channel length, and elevation profile (example screenshots provided). Also See PDF WorkFlow 'Minor Crossing Hydrology Google Earth Steps'. </t>
    </r>
    <r>
      <rPr>
        <b/>
        <sz val="11"/>
        <color theme="1"/>
        <rFont val="Aptos Narrow"/>
        <family val="2"/>
        <scheme val="minor"/>
      </rPr>
      <t>A screening tool that compares two catchment‑level factors to highlight where conditions may combine to increase the likelihood of a debris‑flow or flood event is included and the tool will caution designers if site is potentially unstable and requires input of terrain specialist. This tool with also caution designers if catchment is over 10km².</t>
    </r>
  </si>
  <si>
    <r>
      <t xml:space="preserve">Use rainfall intensity, drainage area, and the selected runoff coefficient to compute peak discharge (Q) at the crossing. </t>
    </r>
    <r>
      <rPr>
        <b/>
        <sz val="11"/>
        <color theme="1"/>
        <rFont val="Aptos Narrow"/>
        <family val="2"/>
        <scheme val="minor"/>
      </rPr>
      <t>This tool will caution designers if peak flow discharge is over 6m³/s which would make the crossing require a major culvert designed by a P.Eng.</t>
    </r>
  </si>
  <si>
    <r>
      <rPr>
        <b/>
        <sz val="11"/>
        <color theme="1"/>
        <rFont val="Aptos Narrow"/>
        <family val="2"/>
        <scheme val="minor"/>
      </rPr>
      <t>Snowmelt</t>
    </r>
    <r>
      <rPr>
        <sz val="11"/>
        <color theme="1"/>
        <rFont val="Aptos Narrow"/>
        <family val="2"/>
        <scheme val="minor"/>
      </rPr>
      <t>: for catchments less than 10km² in size, the time of concentration is relatively</t>
    </r>
  </si>
  <si>
    <t>small and therefore the rate of snowmelt is low compared to the rainfall intensity.</t>
  </si>
  <si>
    <t>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</si>
</sst>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mmmm\ d\,\ yyyy;@"/>
  </numFmts>
  <fonts count="20" x14ac:knownFonts="1">
    <font>
      <sz val="11"/>
      <color theme="1"/>
      <name val="Aptos Narrow"/>
      <family val="2"/>
      <scheme val="minor"/>
    </font>
    <font>
      <b/>
      <sz val="11"/>
      <color theme="1"/>
      <name val="Aptos Narrow"/>
      <family val="2"/>
      <scheme val="minor"/>
    </font>
    <font>
      <b/>
      <sz val="14"/>
      <color theme="1"/>
      <name val="Aptos Narrow"/>
      <family val="2"/>
      <scheme val="minor"/>
    </font>
    <font>
      <u/>
      <sz val="11"/>
      <color theme="1"/>
      <name val="Aptos Narrow"/>
      <family val="2"/>
      <scheme val="minor"/>
    </font>
    <font>
      <u/>
      <sz val="11"/>
      <color theme="10"/>
      <name val="Aptos Narrow"/>
      <family val="2"/>
      <scheme val="minor"/>
    </font>
    <font>
      <sz val="11"/>
      <color theme="1"/>
      <name val="Aptos Narrow"/>
      <family val="2"/>
      <scheme val="minor"/>
    </font>
    <font>
      <sz val="11"/>
      <color rgb="FF000000"/>
      <name val="Aptos Narrow"/>
      <family val="2"/>
      <scheme val="minor"/>
    </font>
    <font>
      <b/>
      <sz val="11"/>
      <color rgb="FF000000"/>
      <name val="Aptos Narrow"/>
      <family val="2"/>
      <scheme val="minor"/>
    </font>
    <font>
      <b/>
      <vertAlign val="superscript"/>
      <sz val="11"/>
      <color theme="1"/>
      <name val="Aptos Narrow"/>
      <family val="2"/>
      <scheme val="minor"/>
    </font>
    <font>
      <b/>
      <i/>
      <sz val="11"/>
      <color theme="1"/>
      <name val="Aptos Narrow"/>
      <family val="2"/>
      <scheme val="minor"/>
    </font>
    <font>
      <sz val="8"/>
      <name val="Aptos Narrow"/>
      <family val="2"/>
      <scheme val="minor"/>
    </font>
    <font>
      <sz val="11"/>
      <color theme="1"/>
      <name val="Aptos Narrow"/>
      <family val="2"/>
    </font>
    <font>
      <sz val="10"/>
      <color theme="1"/>
      <name val="Arial Unicode MS"/>
      <family val="2"/>
    </font>
    <font>
      <i/>
      <sz val="11"/>
      <color theme="1"/>
      <name val="Aptos Narrow"/>
      <family val="2"/>
      <scheme val="minor"/>
    </font>
    <font>
      <sz val="11"/>
      <color theme="1"/>
      <name val="BC Sans"/>
    </font>
    <font>
      <b/>
      <sz val="11"/>
      <color theme="1"/>
      <name val="BC Sans"/>
    </font>
    <font>
      <sz val="14"/>
      <color theme="1"/>
      <name val="Aptos Narrow"/>
      <family val="2"/>
      <scheme val="minor"/>
    </font>
    <font>
      <vertAlign val="subscript"/>
      <sz val="11"/>
      <color theme="1"/>
      <name val="Aptos Narrow"/>
      <family val="2"/>
      <scheme val="minor"/>
    </font>
    <font>
      <vertAlign val="superscript"/>
      <sz val="11"/>
      <color theme="1"/>
      <name val="Aptos Narrow"/>
      <family val="2"/>
      <scheme val="minor"/>
    </font>
    <font>
      <sz val="11"/>
      <color rgb="FFFF0000"/>
      <name val="Aptos Narrow"/>
      <family val="2"/>
      <scheme val="minor"/>
    </font>
  </fonts>
  <fills count="11">
    <fill>
      <patternFill patternType="none"/>
    </fill>
    <fill>
      <patternFill patternType="gray125"/>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7C8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s>
  <cellStyleXfs count="3">
    <xf numFmtId="0" fontId="0" fillId="0" borderId="0"/>
    <xf numFmtId="0" fontId="4" fillId="0" borderId="0" applyNumberFormat="0" applyFill="0" applyBorder="0" applyAlignment="0" applyProtection="0"/>
    <xf numFmtId="9" fontId="5" fillId="0" borderId="0" applyFont="0" applyFill="0" applyBorder="0" applyAlignment="0" applyProtection="0"/>
  </cellStyleXfs>
  <cellXfs count="145">
    <xf numFmtId="0" fontId="0" fillId="0" borderId="0" xfId="0"/>
    <xf numFmtId="0" fontId="1" fillId="0" borderId="4" xfId="0" applyFont="1" applyBorder="1"/>
    <xf numFmtId="0" fontId="1" fillId="0" borderId="0" xfId="0" applyFont="1"/>
    <xf numFmtId="0" fontId="1" fillId="0" borderId="2" xfId="0" applyFont="1" applyBorder="1"/>
    <xf numFmtId="0" fontId="0" fillId="0" borderId="3" xfId="0" applyBorder="1"/>
    <xf numFmtId="0" fontId="0" fillId="0" borderId="1" xfId="0" applyBorder="1"/>
    <xf numFmtId="0" fontId="0" fillId="0" borderId="0" xfId="0" applyAlignment="1">
      <alignment wrapText="1"/>
    </xf>
    <xf numFmtId="0" fontId="4" fillId="0" borderId="0" xfId="1" applyBorder="1"/>
    <xf numFmtId="0" fontId="9" fillId="0" borderId="0" xfId="0" applyFont="1"/>
    <xf numFmtId="0" fontId="0" fillId="0" borderId="1" xfId="0" applyBorder="1" applyAlignment="1">
      <alignment horizontal="center" vertical="center" wrapText="1"/>
    </xf>
    <xf numFmtId="0" fontId="1" fillId="0" borderId="0" xfId="0" applyFont="1" applyAlignment="1">
      <alignment horizontal="center"/>
    </xf>
    <xf numFmtId="0" fontId="1" fillId="0" borderId="1" xfId="0" applyFont="1" applyBorder="1"/>
    <xf numFmtId="2" fontId="0" fillId="0" borderId="1" xfId="0" applyNumberFormat="1" applyBorder="1"/>
    <xf numFmtId="0" fontId="0" fillId="0" borderId="0" xfId="0" applyAlignment="1">
      <alignment vertical="center" wrapText="1"/>
    </xf>
    <xf numFmtId="9" fontId="0" fillId="0" borderId="1" xfId="2" applyFont="1" applyBorder="1"/>
    <xf numFmtId="9" fontId="0" fillId="0" borderId="1" xfId="2" applyFont="1" applyBorder="1" applyAlignment="1">
      <alignment horizontal="right"/>
    </xf>
    <xf numFmtId="0" fontId="14" fillId="0" borderId="0" xfId="0" applyFont="1" applyAlignment="1">
      <alignment vertical="center" wrapText="1"/>
    </xf>
    <xf numFmtId="0" fontId="16" fillId="0" borderId="0" xfId="0" applyFont="1"/>
    <xf numFmtId="2" fontId="0" fillId="0" borderId="1" xfId="0" applyNumberFormat="1" applyBorder="1" applyAlignment="1">
      <alignment horizontal="center" vertical="center" wrapText="1"/>
    </xf>
    <xf numFmtId="0" fontId="0" fillId="0" borderId="9" xfId="0" applyBorder="1"/>
    <xf numFmtId="0" fontId="1" fillId="0" borderId="1" xfId="0" applyFont="1" applyBorder="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0" fontId="1" fillId="0" borderId="9" xfId="0" applyFont="1" applyBorder="1"/>
    <xf numFmtId="0" fontId="0" fillId="5" borderId="8" xfId="0" applyFill="1" applyBorder="1"/>
    <xf numFmtId="0" fontId="0" fillId="0" borderId="0" xfId="0" applyAlignment="1">
      <alignment horizontal="right" wrapText="1"/>
    </xf>
    <xf numFmtId="0" fontId="0" fillId="0" borderId="0" xfId="0" applyAlignment="1">
      <alignment horizontal="left" wrapText="1"/>
    </xf>
    <xf numFmtId="0" fontId="3" fillId="0" borderId="0" xfId="0" applyFont="1" applyAlignment="1">
      <alignment horizontal="center" wrapText="1"/>
    </xf>
    <xf numFmtId="0" fontId="1" fillId="2" borderId="8" xfId="0" applyFont="1" applyFill="1" applyBorder="1" applyAlignment="1" applyProtection="1">
      <alignment horizontal="right"/>
      <protection locked="0"/>
    </xf>
    <xf numFmtId="0" fontId="1" fillId="2" borderId="8" xfId="0" applyFont="1" applyFill="1" applyBorder="1" applyProtection="1">
      <protection locked="0"/>
    </xf>
    <xf numFmtId="164" fontId="1" fillId="5" borderId="8" xfId="0" applyNumberFormat="1" applyFont="1" applyFill="1" applyBorder="1"/>
    <xf numFmtId="165" fontId="0" fillId="0" borderId="0" xfId="0" applyNumberFormat="1" applyAlignment="1">
      <alignment horizontal="left" wrapText="1"/>
    </xf>
    <xf numFmtId="1" fontId="0" fillId="0" borderId="0" xfId="0" applyNumberFormat="1" applyAlignment="1">
      <alignment horizontal="left" wrapText="1"/>
    </xf>
    <xf numFmtId="164" fontId="0" fillId="0" borderId="0" xfId="0" applyNumberFormat="1" applyAlignment="1">
      <alignment horizontal="left" wrapText="1"/>
    </xf>
    <xf numFmtId="0" fontId="6" fillId="0" borderId="0" xfId="0" applyFont="1" applyAlignment="1">
      <alignment wrapText="1"/>
    </xf>
    <xf numFmtId="2" fontId="0" fillId="0" borderId="0" xfId="0" applyNumberFormat="1" applyAlignment="1">
      <alignment horizontal="left" wrapText="1"/>
    </xf>
    <xf numFmtId="0" fontId="12" fillId="0" borderId="0" xfId="0" applyFont="1" applyAlignment="1">
      <alignment horizontal="left" vertical="center" wrapText="1"/>
    </xf>
    <xf numFmtId="164" fontId="12" fillId="0" borderId="0" xfId="0" applyNumberFormat="1" applyFont="1" applyAlignment="1">
      <alignment horizontal="left" vertical="center" wrapText="1"/>
    </xf>
    <xf numFmtId="0" fontId="0" fillId="0" borderId="9" xfId="0" applyBorder="1" applyAlignment="1">
      <alignment wrapText="1"/>
    </xf>
    <xf numFmtId="0" fontId="0" fillId="0" borderId="10" xfId="0" applyBorder="1" applyAlignment="1">
      <alignment wrapText="1"/>
    </xf>
    <xf numFmtId="0" fontId="0" fillId="2" borderId="10" xfId="0" applyFill="1" applyBorder="1" applyAlignment="1" applyProtection="1">
      <alignment horizontal="left" wrapText="1"/>
      <protection locked="0"/>
    </xf>
    <xf numFmtId="164" fontId="0" fillId="2" borderId="8" xfId="0" applyNumberFormat="1" applyFill="1" applyBorder="1" applyAlignment="1" applyProtection="1">
      <alignment horizontal="left" wrapText="1"/>
      <protection locked="0"/>
    </xf>
    <xf numFmtId="2" fontId="1" fillId="5" borderId="8" xfId="0" applyNumberFormat="1" applyFont="1" applyFill="1" applyBorder="1"/>
    <xf numFmtId="0" fontId="1" fillId="5" borderId="8" xfId="0" applyFont="1" applyFill="1" applyBorder="1" applyAlignment="1">
      <alignment wrapText="1"/>
    </xf>
    <xf numFmtId="0" fontId="0" fillId="0" borderId="5" xfId="0" applyBorder="1" applyAlignment="1">
      <alignment wrapText="1"/>
    </xf>
    <xf numFmtId="0" fontId="0" fillId="0" borderId="7" xfId="0" applyBorder="1" applyAlignment="1">
      <alignment horizontal="left" wrapText="1"/>
    </xf>
    <xf numFmtId="0" fontId="0" fillId="0" borderId="5" xfId="0" applyBorder="1"/>
    <xf numFmtId="0" fontId="0" fillId="0" borderId="7" xfId="0" applyBorder="1"/>
    <xf numFmtId="2" fontId="0" fillId="0" borderId="7" xfId="0" applyNumberFormat="1" applyBorder="1" applyAlignment="1">
      <alignment horizontal="left" wrapText="1"/>
    </xf>
    <xf numFmtId="164" fontId="0" fillId="0" borderId="7" xfId="0" applyNumberFormat="1" applyBorder="1" applyAlignment="1">
      <alignment horizontal="left" wrapText="1"/>
    </xf>
    <xf numFmtId="0" fontId="0" fillId="0" borderId="11" xfId="0" applyBorder="1"/>
    <xf numFmtId="2" fontId="0" fillId="0" borderId="11" xfId="0" applyNumberFormat="1" applyBorder="1"/>
    <xf numFmtId="9" fontId="0" fillId="0" borderId="0" xfId="2" applyFont="1" applyBorder="1" applyAlignment="1">
      <alignment horizontal="right"/>
    </xf>
    <xf numFmtId="0" fontId="2" fillId="0" borderId="0" xfId="0" applyFont="1" applyAlignment="1">
      <alignment horizontal="center"/>
    </xf>
    <xf numFmtId="0" fontId="0" fillId="0" borderId="16" xfId="0" applyBorder="1" applyAlignment="1">
      <alignment vertical="center" wrapText="1"/>
    </xf>
    <xf numFmtId="0" fontId="0" fillId="0" borderId="17" xfId="0" applyBorder="1" applyAlignment="1">
      <alignment vertical="center" wrapText="1"/>
    </xf>
    <xf numFmtId="0" fontId="0" fillId="0" borderId="16" xfId="0" applyBorder="1" applyAlignment="1">
      <alignment wrapText="1"/>
    </xf>
    <xf numFmtId="0" fontId="0" fillId="0" borderId="17" xfId="0" applyBorder="1" applyAlignment="1">
      <alignment wrapText="1"/>
    </xf>
    <xf numFmtId="0" fontId="1" fillId="0" borderId="16" xfId="0" applyFont="1" applyBorder="1" applyAlignment="1">
      <alignment vertical="center" wrapText="1"/>
    </xf>
    <xf numFmtId="0" fontId="1" fillId="6" borderId="1" xfId="0" applyFont="1" applyFill="1" applyBorder="1" applyAlignment="1">
      <alignment wrapText="1"/>
    </xf>
    <xf numFmtId="0" fontId="1" fillId="4" borderId="16" xfId="0" applyFont="1" applyFill="1" applyBorder="1" applyAlignment="1">
      <alignment wrapText="1"/>
    </xf>
    <xf numFmtId="0" fontId="1" fillId="3" borderId="16" xfId="0" applyFont="1" applyFill="1" applyBorder="1" applyAlignment="1">
      <alignment wrapText="1"/>
    </xf>
    <xf numFmtId="0" fontId="1" fillId="5" borderId="16" xfId="0" applyFont="1" applyFill="1" applyBorder="1" applyAlignment="1">
      <alignment wrapText="1"/>
    </xf>
    <xf numFmtId="0" fontId="1" fillId="0" borderId="16" xfId="0" applyFont="1" applyBorder="1" applyAlignment="1">
      <alignment wrapText="1"/>
    </xf>
    <xf numFmtId="0" fontId="0" fillId="0" borderId="1" xfId="0" applyBorder="1" applyAlignment="1">
      <alignment wrapText="1"/>
    </xf>
    <xf numFmtId="49" fontId="0" fillId="2" borderId="1" xfId="0" applyNumberFormat="1" applyFill="1" applyBorder="1" applyAlignment="1" applyProtection="1">
      <alignment wrapText="1"/>
      <protection locked="0"/>
    </xf>
    <xf numFmtId="49" fontId="0" fillId="2" borderId="1" xfId="0" applyNumberFormat="1" applyFill="1" applyBorder="1" applyAlignment="1" applyProtection="1">
      <alignment horizontal="left" wrapText="1"/>
      <protection locked="0"/>
    </xf>
    <xf numFmtId="165" fontId="0" fillId="2" borderId="1" xfId="0" applyNumberFormat="1" applyFill="1" applyBorder="1" applyAlignment="1" applyProtection="1">
      <alignment horizontal="left" wrapText="1"/>
      <protection locked="0"/>
    </xf>
    <xf numFmtId="0" fontId="6" fillId="0" borderId="1" xfId="0" applyFont="1" applyBorder="1" applyAlignment="1">
      <alignment vertical="center" wrapText="1"/>
    </xf>
    <xf numFmtId="0" fontId="0" fillId="2" borderId="1" xfId="0" applyFill="1" applyBorder="1" applyAlignment="1" applyProtection="1">
      <alignment horizontal="left" wrapText="1"/>
      <protection locked="0"/>
    </xf>
    <xf numFmtId="1" fontId="0" fillId="2" borderId="1" xfId="2" applyNumberFormat="1" applyFont="1" applyFill="1" applyBorder="1" applyAlignment="1" applyProtection="1">
      <alignment horizontal="left" wrapText="1"/>
      <protection locked="0"/>
    </xf>
    <xf numFmtId="0" fontId="7" fillId="0" borderId="1" xfId="0" applyFont="1" applyBorder="1" applyAlignment="1">
      <alignment vertical="center" wrapText="1"/>
    </xf>
    <xf numFmtId="0" fontId="1" fillId="0" borderId="1" xfId="0" applyFont="1" applyBorder="1" applyAlignment="1">
      <alignment horizontal="center"/>
    </xf>
    <xf numFmtId="164" fontId="0" fillId="2" borderId="1" xfId="0" applyNumberFormat="1" applyFill="1" applyBorder="1" applyAlignment="1" applyProtection="1">
      <alignment horizontal="center"/>
      <protection locked="0"/>
    </xf>
    <xf numFmtId="0" fontId="0" fillId="2" borderId="1" xfId="0" applyFill="1" applyBorder="1" applyAlignment="1" applyProtection="1">
      <alignment horizontal="center"/>
      <protection locked="0"/>
    </xf>
    <xf numFmtId="164" fontId="0" fillId="3" borderId="1" xfId="0" applyNumberFormat="1" applyFill="1" applyBorder="1"/>
    <xf numFmtId="2" fontId="0" fillId="3" borderId="1" xfId="0" applyNumberFormat="1" applyFill="1" applyBorder="1"/>
    <xf numFmtId="1" fontId="0" fillId="5" borderId="1" xfId="0" applyNumberFormat="1" applyFill="1" applyBorder="1" applyProtection="1">
      <protection locked="0"/>
    </xf>
    <xf numFmtId="0" fontId="0" fillId="2" borderId="1" xfId="0" applyFill="1" applyBorder="1" applyProtection="1">
      <protection locked="0"/>
    </xf>
    <xf numFmtId="0" fontId="0" fillId="5" borderId="1" xfId="0" applyFill="1" applyBorder="1"/>
    <xf numFmtId="0" fontId="0" fillId="3" borderId="1" xfId="0" applyFill="1" applyBorder="1"/>
    <xf numFmtId="9" fontId="0" fillId="3" borderId="1" xfId="0" applyNumberFormat="1" applyFill="1" applyBorder="1"/>
    <xf numFmtId="1" fontId="0" fillId="3" borderId="1" xfId="0" applyNumberFormat="1" applyFill="1" applyBorder="1"/>
    <xf numFmtId="0" fontId="0" fillId="0" borderId="15" xfId="0" applyBorder="1"/>
    <xf numFmtId="0" fontId="0" fillId="3" borderId="15" xfId="0" applyFill="1" applyBorder="1"/>
    <xf numFmtId="2" fontId="0" fillId="2" borderId="1" xfId="0" applyNumberFormat="1" applyFill="1" applyBorder="1" applyProtection="1">
      <protection locked="0"/>
    </xf>
    <xf numFmtId="0" fontId="0" fillId="0" borderId="1" xfId="0" applyBorder="1" applyAlignment="1">
      <alignment vertical="top" wrapText="1"/>
    </xf>
    <xf numFmtId="0" fontId="0" fillId="0" borderId="1" xfId="0" applyBorder="1" applyAlignment="1">
      <alignment vertical="center" wrapText="1"/>
    </xf>
    <xf numFmtId="0" fontId="12" fillId="2" borderId="1" xfId="0" applyFont="1" applyFill="1" applyBorder="1" applyAlignment="1" applyProtection="1">
      <alignment vertical="center" wrapText="1"/>
      <protection locked="0"/>
    </xf>
    <xf numFmtId="164" fontId="12" fillId="2" borderId="1" xfId="0" applyNumberFormat="1" applyFont="1" applyFill="1" applyBorder="1" applyAlignment="1" applyProtection="1">
      <alignment vertical="center" wrapText="1"/>
      <protection locked="0"/>
    </xf>
    <xf numFmtId="0" fontId="0" fillId="0" borderId="15" xfId="0" applyBorder="1" applyAlignment="1">
      <alignment wrapText="1"/>
    </xf>
    <xf numFmtId="0" fontId="0" fillId="3" borderId="1" xfId="0" applyFill="1" applyBorder="1" applyAlignment="1">
      <alignment horizontal="right"/>
    </xf>
    <xf numFmtId="0" fontId="0" fillId="3" borderId="1" xfId="0" applyFill="1" applyBorder="1" applyAlignment="1">
      <alignment horizontal="left" wrapText="1"/>
    </xf>
    <xf numFmtId="2" fontId="6" fillId="0" borderId="0" xfId="0" applyNumberFormat="1" applyFont="1" applyAlignment="1">
      <alignment horizontal="left" wrapText="1"/>
    </xf>
    <xf numFmtId="0" fontId="1" fillId="2" borderId="18" xfId="0" applyFont="1" applyFill="1" applyBorder="1" applyProtection="1">
      <protection locked="0"/>
    </xf>
    <xf numFmtId="49" fontId="0" fillId="0" borderId="1" xfId="0" applyNumberFormat="1" applyBorder="1" applyAlignment="1">
      <alignment wrapText="1"/>
    </xf>
    <xf numFmtId="0" fontId="1" fillId="8" borderId="15" xfId="0" applyFont="1" applyFill="1" applyBorder="1" applyAlignment="1">
      <alignment horizontal="left"/>
    </xf>
    <xf numFmtId="0" fontId="1" fillId="0" borderId="16" xfId="0" applyFont="1" applyBorder="1" applyAlignment="1">
      <alignment horizontal="left"/>
    </xf>
    <xf numFmtId="0" fontId="0" fillId="0" borderId="16" xfId="0" applyBorder="1" applyAlignment="1">
      <alignment horizontal="left"/>
    </xf>
    <xf numFmtId="0" fontId="1" fillId="0" borderId="15" xfId="0" applyFont="1" applyBorder="1" applyAlignment="1">
      <alignment wrapText="1"/>
    </xf>
    <xf numFmtId="0" fontId="0" fillId="9" borderId="0" xfId="0" applyFill="1"/>
    <xf numFmtId="0" fontId="0" fillId="0" borderId="19" xfId="0" applyBorder="1"/>
    <xf numFmtId="0" fontId="0" fillId="0" borderId="14" xfId="0" applyBorder="1"/>
    <xf numFmtId="0" fontId="0" fillId="9" borderId="15" xfId="0" applyFill="1" applyBorder="1"/>
    <xf numFmtId="2" fontId="0" fillId="9" borderId="15" xfId="0" applyNumberFormat="1" applyFill="1" applyBorder="1"/>
    <xf numFmtId="0" fontId="0" fillId="0" borderId="20" xfId="0" applyBorder="1"/>
    <xf numFmtId="0" fontId="0" fillId="0" borderId="17" xfId="0" applyBorder="1"/>
    <xf numFmtId="0" fontId="0" fillId="0" borderId="13" xfId="0" applyBorder="1"/>
    <xf numFmtId="0" fontId="6" fillId="0" borderId="0" xfId="0" applyFont="1" applyAlignment="1">
      <alignment horizontal="left" vertical="center" wrapText="1"/>
    </xf>
    <xf numFmtId="0" fontId="15" fillId="0" borderId="0" xfId="0" applyFont="1" applyAlignment="1">
      <alignment horizontal="center" vertical="center" wrapText="1"/>
    </xf>
    <xf numFmtId="0" fontId="14" fillId="0" borderId="0" xfId="0" applyFont="1" applyAlignment="1">
      <alignment horizontal="center" vertical="center" wrapText="1"/>
    </xf>
    <xf numFmtId="0" fontId="1" fillId="0" borderId="0" xfId="0" applyFont="1" applyAlignment="1">
      <alignment wrapText="1"/>
    </xf>
    <xf numFmtId="0" fontId="0" fillId="10" borderId="0" xfId="0" applyFill="1"/>
    <xf numFmtId="9" fontId="0" fillId="0" borderId="1" xfId="2" applyFont="1" applyBorder="1" applyAlignment="1">
      <alignment wrapText="1"/>
    </xf>
    <xf numFmtId="0" fontId="0" fillId="0" borderId="4" xfId="0" applyBorder="1"/>
    <xf numFmtId="0" fontId="0" fillId="0" borderId="4" xfId="0" applyBorder="1" applyAlignment="1">
      <alignment wrapText="1"/>
    </xf>
    <xf numFmtId="0" fontId="19" fillId="0" borderId="0" xfId="0" applyFont="1"/>
    <xf numFmtId="0" fontId="0" fillId="4" borderId="1" xfId="0" applyFill="1" applyBorder="1" applyProtection="1">
      <protection locked="0"/>
    </xf>
    <xf numFmtId="1" fontId="0" fillId="4" borderId="1" xfId="0" applyNumberFormat="1" applyFill="1" applyBorder="1" applyProtection="1">
      <protection locked="0"/>
    </xf>
    <xf numFmtId="2" fontId="0" fillId="4" borderId="1" xfId="0" applyNumberFormat="1" applyFill="1" applyBorder="1" applyProtection="1">
      <protection locked="0"/>
    </xf>
    <xf numFmtId="0" fontId="1" fillId="0" borderId="1" xfId="0" applyFont="1" applyBorder="1" applyAlignment="1">
      <alignment vertical="center" wrapText="1"/>
    </xf>
    <xf numFmtId="0" fontId="0" fillId="0" borderId="1" xfId="0" applyBorder="1" applyAlignment="1">
      <alignment horizontal="left" vertical="center" wrapText="1"/>
    </xf>
    <xf numFmtId="0" fontId="1" fillId="7" borderId="0" xfId="0" applyFont="1" applyFill="1" applyAlignment="1">
      <alignment horizontal="left" wrapText="1"/>
    </xf>
    <xf numFmtId="0" fontId="1" fillId="0" borderId="0" xfId="0" applyFont="1" applyAlignment="1">
      <alignment horizontal="center" wrapText="1"/>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 xfId="0" applyBorder="1" applyAlignment="1">
      <alignment horizontal="left" vertical="top" wrapText="1"/>
    </xf>
    <xf numFmtId="0" fontId="0" fillId="0" borderId="0" xfId="0" applyAlignment="1">
      <alignment horizontal="center" wrapText="1"/>
    </xf>
    <xf numFmtId="0" fontId="7" fillId="7" borderId="0" xfId="0" applyFont="1" applyFill="1" applyAlignment="1">
      <alignment horizontal="left" wrapText="1"/>
    </xf>
    <xf numFmtId="0" fontId="0" fillId="0" borderId="0" xfId="0" applyAlignment="1">
      <alignment horizontal="left" vertical="top" wrapText="1"/>
    </xf>
    <xf numFmtId="0" fontId="1" fillId="5" borderId="10" xfId="0" applyFont="1" applyFill="1" applyBorder="1" applyAlignment="1">
      <alignment horizontal="left"/>
    </xf>
    <xf numFmtId="0" fontId="1" fillId="5" borderId="8" xfId="0" applyFont="1" applyFill="1" applyBorder="1" applyAlignment="1">
      <alignment horizontal="left"/>
    </xf>
    <xf numFmtId="0" fontId="6" fillId="0" borderId="0" xfId="0" applyFont="1" applyAlignment="1">
      <alignment horizontal="left" vertical="center" wrapText="1"/>
    </xf>
    <xf numFmtId="0" fontId="6" fillId="0" borderId="13"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0" fillId="0" borderId="4" xfId="0" applyBorder="1" applyAlignment="1">
      <alignment horizontal="left" vertical="top"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12"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1" fillId="0" borderId="0" xfId="0" applyFont="1" applyAlignment="1">
      <alignment horizontal="lef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659</xdr:colOff>
      <xdr:row>23</xdr:row>
      <xdr:rowOff>98611</xdr:rowOff>
    </xdr:from>
    <xdr:to>
      <xdr:col>1</xdr:col>
      <xdr:colOff>3325</xdr:colOff>
      <xdr:row>36</xdr:row>
      <xdr:rowOff>53787</xdr:rowOff>
    </xdr:to>
    <xdr:pic>
      <xdr:nvPicPr>
        <xdr:cNvPr id="3" name="Picture 2">
          <a:extLst>
            <a:ext uri="{FF2B5EF4-FFF2-40B4-BE49-F238E27FC236}">
              <a16:creationId xmlns:a16="http://schemas.microsoft.com/office/drawing/2014/main" id="{A35FCC0B-A29E-6FC0-1193-0CB04C93B66F}"/>
            </a:ext>
          </a:extLst>
        </xdr:cNvPr>
        <xdr:cNvPicPr>
          <a:picLocks noChangeAspect="1"/>
        </xdr:cNvPicPr>
      </xdr:nvPicPr>
      <xdr:blipFill rotWithShape="1">
        <a:blip xmlns:r="http://schemas.openxmlformats.org/officeDocument/2006/relationships" r:embed="rId1"/>
        <a:srcRect t="6915" b="6295"/>
        <a:stretch>
          <a:fillRect/>
        </a:stretch>
      </xdr:blipFill>
      <xdr:spPr>
        <a:xfrm>
          <a:off x="659" y="4410635"/>
          <a:ext cx="3022091" cy="2286000"/>
        </a:xfrm>
        <a:prstGeom prst="rect">
          <a:avLst/>
        </a:prstGeom>
      </xdr:spPr>
    </xdr:pic>
    <xdr:clientData/>
  </xdr:twoCellAnchor>
  <xdr:twoCellAnchor editAs="oneCell">
    <xdr:from>
      <xdr:col>1</xdr:col>
      <xdr:colOff>480650</xdr:colOff>
      <xdr:row>23</xdr:row>
      <xdr:rowOff>85795</xdr:rowOff>
    </xdr:from>
    <xdr:to>
      <xdr:col>5</xdr:col>
      <xdr:colOff>94227</xdr:colOff>
      <xdr:row>34</xdr:row>
      <xdr:rowOff>169053</xdr:rowOff>
    </xdr:to>
    <xdr:pic>
      <xdr:nvPicPr>
        <xdr:cNvPr id="4" name="Picture 3">
          <a:extLst>
            <a:ext uri="{FF2B5EF4-FFF2-40B4-BE49-F238E27FC236}">
              <a16:creationId xmlns:a16="http://schemas.microsoft.com/office/drawing/2014/main" id="{9A307424-1031-24EB-9957-E34F791C72A3}"/>
            </a:ext>
          </a:extLst>
        </xdr:cNvPr>
        <xdr:cNvPicPr>
          <a:picLocks noChangeAspect="1"/>
        </xdr:cNvPicPr>
      </xdr:nvPicPr>
      <xdr:blipFill>
        <a:blip xmlns:r="http://schemas.openxmlformats.org/officeDocument/2006/relationships" r:embed="rId2"/>
        <a:stretch>
          <a:fillRect/>
        </a:stretch>
      </xdr:blipFill>
      <xdr:spPr>
        <a:xfrm>
          <a:off x="3564509" y="4397819"/>
          <a:ext cx="2580894" cy="2063114"/>
        </a:xfrm>
        <a:prstGeom prst="rect">
          <a:avLst/>
        </a:prstGeom>
      </xdr:spPr>
    </xdr:pic>
    <xdr:clientData/>
  </xdr:twoCellAnchor>
  <xdr:twoCellAnchor editAs="oneCell">
    <xdr:from>
      <xdr:col>5</xdr:col>
      <xdr:colOff>650089</xdr:colOff>
      <xdr:row>23</xdr:row>
      <xdr:rowOff>35221</xdr:rowOff>
    </xdr:from>
    <xdr:to>
      <xdr:col>7</xdr:col>
      <xdr:colOff>417546</xdr:colOff>
      <xdr:row>35</xdr:row>
      <xdr:rowOff>53788</xdr:rowOff>
    </xdr:to>
    <xdr:pic>
      <xdr:nvPicPr>
        <xdr:cNvPr id="5" name="Picture 4">
          <a:extLst>
            <a:ext uri="{FF2B5EF4-FFF2-40B4-BE49-F238E27FC236}">
              <a16:creationId xmlns:a16="http://schemas.microsoft.com/office/drawing/2014/main" id="{EB996696-BA5C-F818-1FD6-40B856971C1A}"/>
            </a:ext>
          </a:extLst>
        </xdr:cNvPr>
        <xdr:cNvPicPr>
          <a:picLocks noChangeAspect="1"/>
        </xdr:cNvPicPr>
      </xdr:nvPicPr>
      <xdr:blipFill>
        <a:blip xmlns:r="http://schemas.openxmlformats.org/officeDocument/2006/relationships" r:embed="rId3"/>
        <a:stretch>
          <a:fillRect/>
        </a:stretch>
      </xdr:blipFill>
      <xdr:spPr>
        <a:xfrm>
          <a:off x="6638513" y="4347245"/>
          <a:ext cx="2869246" cy="2170097"/>
        </a:xfrm>
        <a:prstGeom prst="rect">
          <a:avLst/>
        </a:prstGeom>
      </xdr:spPr>
    </xdr:pic>
    <xdr:clientData/>
  </xdr:twoCellAnchor>
  <xdr:twoCellAnchor editAs="oneCell">
    <xdr:from>
      <xdr:col>4</xdr:col>
      <xdr:colOff>40783</xdr:colOff>
      <xdr:row>2</xdr:row>
      <xdr:rowOff>15688</xdr:rowOff>
    </xdr:from>
    <xdr:to>
      <xdr:col>8</xdr:col>
      <xdr:colOff>98956</xdr:colOff>
      <xdr:row>14</xdr:row>
      <xdr:rowOff>158728</xdr:rowOff>
    </xdr:to>
    <xdr:pic>
      <xdr:nvPicPr>
        <xdr:cNvPr id="6" name="Picture 5">
          <a:extLst>
            <a:ext uri="{FF2B5EF4-FFF2-40B4-BE49-F238E27FC236}">
              <a16:creationId xmlns:a16="http://schemas.microsoft.com/office/drawing/2014/main" id="{464576ED-8E06-DD44-EB81-B3E54AE3D7E9}"/>
            </a:ext>
          </a:extLst>
        </xdr:cNvPr>
        <xdr:cNvPicPr>
          <a:picLocks noChangeAspect="1"/>
        </xdr:cNvPicPr>
      </xdr:nvPicPr>
      <xdr:blipFill>
        <a:blip xmlns:r="http://schemas.openxmlformats.org/officeDocument/2006/relationships" r:embed="rId4"/>
        <a:stretch>
          <a:fillRect/>
        </a:stretch>
      </xdr:blipFill>
      <xdr:spPr>
        <a:xfrm>
          <a:off x="5249277" y="374276"/>
          <a:ext cx="4549491" cy="25034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304801</xdr:colOff>
      <xdr:row>16</xdr:row>
      <xdr:rowOff>66261</xdr:rowOff>
    </xdr:from>
    <xdr:to>
      <xdr:col>6</xdr:col>
      <xdr:colOff>2321</xdr:colOff>
      <xdr:row>28</xdr:row>
      <xdr:rowOff>96576</xdr:rowOff>
    </xdr:to>
    <xdr:pic>
      <xdr:nvPicPr>
        <xdr:cNvPr id="2" name="drawing" title="Diagram of water level diagram&#10;&#10;Description automatically generated">
          <a:extLst>
            <a:ext uri="{FF2B5EF4-FFF2-40B4-BE49-F238E27FC236}">
              <a16:creationId xmlns:a16="http://schemas.microsoft.com/office/drawing/2014/main" id="{872445AA-D714-2F48-3387-4424AC05B2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4025" t="22649" r="3641" b="16234"/>
        <a:stretch>
          <a:fillRect/>
        </a:stretch>
      </xdr:blipFill>
      <xdr:spPr>
        <a:xfrm>
          <a:off x="304801" y="3028122"/>
          <a:ext cx="4863548" cy="2252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323850</xdr:colOff>
      <xdr:row>3</xdr:row>
      <xdr:rowOff>17145</xdr:rowOff>
    </xdr:from>
    <xdr:to>
      <xdr:col>12</xdr:col>
      <xdr:colOff>53340</xdr:colOff>
      <xdr:row>23</xdr:row>
      <xdr:rowOff>99060</xdr:rowOff>
    </xdr:to>
    <xdr:grpSp>
      <xdr:nvGrpSpPr>
        <xdr:cNvPr id="4" name="Group 3">
          <a:extLst>
            <a:ext uri="{FF2B5EF4-FFF2-40B4-BE49-F238E27FC236}">
              <a16:creationId xmlns:a16="http://schemas.microsoft.com/office/drawing/2014/main" id="{3C000962-722A-B368-485F-C744EC20832B}"/>
            </a:ext>
          </a:extLst>
        </xdr:cNvPr>
        <xdr:cNvGrpSpPr/>
      </xdr:nvGrpSpPr>
      <xdr:grpSpPr>
        <a:xfrm>
          <a:off x="4787265" y="963930"/>
          <a:ext cx="5223510" cy="4884420"/>
          <a:chOff x="4791075" y="960120"/>
          <a:chExt cx="5215890" cy="4893945"/>
        </a:xfrm>
      </xdr:grpSpPr>
      <xdr:pic>
        <xdr:nvPicPr>
          <xdr:cNvPr id="2" name="Picture 1" descr="A diagram of a root drainage area&#10;&#10;Description automatically generated">
            <a:extLst>
              <a:ext uri="{FF2B5EF4-FFF2-40B4-BE49-F238E27FC236}">
                <a16:creationId xmlns:a16="http://schemas.microsoft.com/office/drawing/2014/main" id="{BED13761-E75A-4849-8E2D-8E90D3A600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205" r="9610" b="2399"/>
          <a:stretch>
            <a:fillRect/>
          </a:stretch>
        </xdr:blipFill>
        <xdr:spPr bwMode="auto">
          <a:xfrm>
            <a:off x="4815909" y="960120"/>
            <a:ext cx="5191056" cy="4893945"/>
          </a:xfrm>
          <a:prstGeom prst="rect">
            <a:avLst/>
          </a:prstGeom>
          <a:noFill/>
          <a:ln>
            <a:noFill/>
          </a:ln>
        </xdr:spPr>
      </xdr:pic>
      <xdr:sp macro="" textlink="">
        <xdr:nvSpPr>
          <xdr:cNvPr id="3" name="TextBox 2">
            <a:extLst>
              <a:ext uri="{FF2B5EF4-FFF2-40B4-BE49-F238E27FC236}">
                <a16:creationId xmlns:a16="http://schemas.microsoft.com/office/drawing/2014/main" id="{545F2D2B-38C1-6928-9F55-6B385B71A718}"/>
              </a:ext>
            </a:extLst>
          </xdr:cNvPr>
          <xdr:cNvSpPr txBox="1"/>
        </xdr:nvSpPr>
        <xdr:spPr>
          <a:xfrm>
            <a:off x="4791075" y="996063"/>
            <a:ext cx="2457450" cy="21741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Method 2 *Click</a:t>
            </a:r>
            <a:r>
              <a:rPr lang="en-US" sz="1100" baseline="0"/>
              <a:t> and drag orange lines</a:t>
            </a:r>
            <a:endParaRPr lang="en-US" sz="1100"/>
          </a:p>
        </xdr:txBody>
      </xdr:sp>
      <xdr:cxnSp macro="">
        <xdr:nvCxnSpPr>
          <xdr:cNvPr id="5" name="Straight Connector 4">
            <a:extLst>
              <a:ext uri="{FF2B5EF4-FFF2-40B4-BE49-F238E27FC236}">
                <a16:creationId xmlns:a16="http://schemas.microsoft.com/office/drawing/2014/main" id="{10D639CE-0BD7-46AE-9A34-704C6961475C}"/>
              </a:ext>
            </a:extLst>
          </xdr:cNvPr>
          <xdr:cNvCxnSpPr/>
        </xdr:nvCxnSpPr>
        <xdr:spPr>
          <a:xfrm flipH="1" flipV="1">
            <a:off x="5857512" y="1304587"/>
            <a:ext cx="7639" cy="4190717"/>
          </a:xfrm>
          <a:prstGeom prst="line">
            <a:avLst/>
          </a:prstGeom>
        </xdr:spPr>
        <xdr:style>
          <a:lnRef idx="3">
            <a:schemeClr val="accent2"/>
          </a:lnRef>
          <a:fillRef idx="0">
            <a:schemeClr val="accent2"/>
          </a:fillRef>
          <a:effectRef idx="2">
            <a:schemeClr val="accent2"/>
          </a:effectRef>
          <a:fontRef idx="minor">
            <a:schemeClr val="tx1"/>
          </a:fontRef>
        </xdr:style>
      </xdr:cxnSp>
      <xdr:cxnSp macro="">
        <xdr:nvCxnSpPr>
          <xdr:cNvPr id="8" name="Straight Connector 7">
            <a:extLst>
              <a:ext uri="{FF2B5EF4-FFF2-40B4-BE49-F238E27FC236}">
                <a16:creationId xmlns:a16="http://schemas.microsoft.com/office/drawing/2014/main" id="{1F0FFCD8-47D3-4550-865D-F6D4CE9460CD}"/>
              </a:ext>
            </a:extLst>
          </xdr:cNvPr>
          <xdr:cNvCxnSpPr/>
        </xdr:nvCxnSpPr>
        <xdr:spPr>
          <a:xfrm flipH="1" flipV="1">
            <a:off x="5420641" y="4570372"/>
            <a:ext cx="4563409" cy="1981"/>
          </a:xfrm>
          <a:prstGeom prst="line">
            <a:avLst/>
          </a:prstGeom>
        </xdr:spPr>
        <xdr:style>
          <a:lnRef idx="3">
            <a:schemeClr val="accent2"/>
          </a:lnRef>
          <a:fillRef idx="0">
            <a:schemeClr val="accent2"/>
          </a:fillRef>
          <a:effectRef idx="2">
            <a:schemeClr val="accent2"/>
          </a:effectRef>
          <a:fontRef idx="minor">
            <a:schemeClr val="tx1"/>
          </a:fontRef>
        </xdr:style>
      </xdr:cxnSp>
    </xdr:grpSp>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xdr:col>
      <xdr:colOff>706120</xdr:colOff>
      <xdr:row>6</xdr:row>
      <xdr:rowOff>116840</xdr:rowOff>
    </xdr:to>
    <xdr:pic>
      <xdr:nvPicPr>
        <xdr:cNvPr id="3" name="Picture 2">
          <a:extLst>
            <a:ext uri="{FF2B5EF4-FFF2-40B4-BE49-F238E27FC236}">
              <a16:creationId xmlns:a16="http://schemas.microsoft.com/office/drawing/2014/main" id="{07BFC8D4-B2AC-FAF8-461D-6AF3008152AF}"/>
            </a:ext>
          </a:extLst>
        </xdr:cNvPr>
        <xdr:cNvPicPr>
          <a:picLocks noChangeAspect="1"/>
        </xdr:cNvPicPr>
      </xdr:nvPicPr>
      <xdr:blipFill>
        <a:blip xmlns:r="http://schemas.openxmlformats.org/officeDocument/2006/relationships" r:embed="rId1"/>
        <a:stretch>
          <a:fillRect/>
        </a:stretch>
      </xdr:blipFill>
      <xdr:spPr>
        <a:xfrm>
          <a:off x="0" y="706121"/>
          <a:ext cx="7106920" cy="482599"/>
        </a:xfrm>
        <a:prstGeom prst="rect">
          <a:avLst/>
        </a:prstGeom>
      </xdr:spPr>
    </xdr:pic>
    <xdr:clientData/>
  </xdr:twoCellAnchor>
  <xdr:twoCellAnchor editAs="oneCell">
    <xdr:from>
      <xdr:col>0</xdr:col>
      <xdr:colOff>0</xdr:colOff>
      <xdr:row>8</xdr:row>
      <xdr:rowOff>0</xdr:rowOff>
    </xdr:from>
    <xdr:to>
      <xdr:col>3</xdr:col>
      <xdr:colOff>13383</xdr:colOff>
      <xdr:row>46</xdr:row>
      <xdr:rowOff>69188</xdr:rowOff>
    </xdr:to>
    <xdr:pic>
      <xdr:nvPicPr>
        <xdr:cNvPr id="5" name="Picture 4">
          <a:extLst>
            <a:ext uri="{FF2B5EF4-FFF2-40B4-BE49-F238E27FC236}">
              <a16:creationId xmlns:a16="http://schemas.microsoft.com/office/drawing/2014/main" id="{ECB00CCD-6D38-2754-B6D8-D9CB42177A61}"/>
            </a:ext>
          </a:extLst>
        </xdr:cNvPr>
        <xdr:cNvPicPr>
          <a:picLocks noChangeAspect="1"/>
        </xdr:cNvPicPr>
      </xdr:nvPicPr>
      <xdr:blipFill>
        <a:blip xmlns:r="http://schemas.openxmlformats.org/officeDocument/2006/relationships" r:embed="rId2"/>
        <a:stretch>
          <a:fillRect/>
        </a:stretch>
      </xdr:blipFill>
      <xdr:spPr>
        <a:xfrm>
          <a:off x="0" y="1437640"/>
          <a:ext cx="7887383" cy="7018628"/>
        </a:xfrm>
        <a:prstGeom prst="rect">
          <a:avLst/>
        </a:prstGeom>
      </xdr:spPr>
    </xdr:pic>
    <xdr:clientData/>
  </xdr:twoCellAnchor>
  <xdr:twoCellAnchor editAs="oneCell">
    <xdr:from>
      <xdr:col>0</xdr:col>
      <xdr:colOff>16934</xdr:colOff>
      <xdr:row>53</xdr:row>
      <xdr:rowOff>50799</xdr:rowOff>
    </xdr:from>
    <xdr:to>
      <xdr:col>2</xdr:col>
      <xdr:colOff>312229</xdr:colOff>
      <xdr:row>84</xdr:row>
      <xdr:rowOff>168142</xdr:rowOff>
    </xdr:to>
    <xdr:pic>
      <xdr:nvPicPr>
        <xdr:cNvPr id="9" name="Picture 8">
          <a:extLst>
            <a:ext uri="{FF2B5EF4-FFF2-40B4-BE49-F238E27FC236}">
              <a16:creationId xmlns:a16="http://schemas.microsoft.com/office/drawing/2014/main" id="{C423DBC5-36E6-45A0-5D7D-B329FC6C324A}"/>
            </a:ext>
          </a:extLst>
        </xdr:cNvPr>
        <xdr:cNvPicPr>
          <a:picLocks noChangeAspect="1"/>
        </xdr:cNvPicPr>
      </xdr:nvPicPr>
      <xdr:blipFill>
        <a:blip xmlns:r="http://schemas.openxmlformats.org/officeDocument/2006/relationships" r:embed="rId3"/>
        <a:stretch>
          <a:fillRect/>
        </a:stretch>
      </xdr:blipFill>
      <xdr:spPr>
        <a:xfrm>
          <a:off x="16934" y="9889066"/>
          <a:ext cx="7559695" cy="5908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131445</xdr:colOff>
      <xdr:row>2</xdr:row>
      <xdr:rowOff>95250</xdr:rowOff>
    </xdr:from>
    <xdr:to>
      <xdr:col>5</xdr:col>
      <xdr:colOff>18097</xdr:colOff>
      <xdr:row>44</xdr:row>
      <xdr:rowOff>134302</xdr:rowOff>
    </xdr:to>
    <xdr:grpSp>
      <xdr:nvGrpSpPr>
        <xdr:cNvPr id="2" name="Group 1">
          <a:extLst>
            <a:ext uri="{FF2B5EF4-FFF2-40B4-BE49-F238E27FC236}">
              <a16:creationId xmlns:a16="http://schemas.microsoft.com/office/drawing/2014/main" id="{FD8CEFFA-5719-E2B8-D003-B10CBDE08201}"/>
            </a:ext>
          </a:extLst>
        </xdr:cNvPr>
        <xdr:cNvGrpSpPr/>
      </xdr:nvGrpSpPr>
      <xdr:grpSpPr>
        <a:xfrm>
          <a:off x="135255" y="2882265"/>
          <a:ext cx="4915852" cy="7640002"/>
          <a:chOff x="131445" y="2886075"/>
          <a:chExt cx="4782502" cy="7640002"/>
        </a:xfrm>
      </xdr:grpSpPr>
      <xdr:pic>
        <xdr:nvPicPr>
          <xdr:cNvPr id="4" name="Picture 3">
            <a:extLst>
              <a:ext uri="{FF2B5EF4-FFF2-40B4-BE49-F238E27FC236}">
                <a16:creationId xmlns:a16="http://schemas.microsoft.com/office/drawing/2014/main" id="{8EFB3C1A-DD61-D04E-0B11-13B6699A38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149" t="12039" r="20370" b="13818"/>
          <a:stretch>
            <a:fillRect/>
          </a:stretch>
        </xdr:blipFill>
        <xdr:spPr>
          <a:xfrm>
            <a:off x="131445" y="2962190"/>
            <a:ext cx="4782502" cy="7563887"/>
          </a:xfrm>
          <a:prstGeom prst="rect">
            <a:avLst/>
          </a:prstGeom>
        </xdr:spPr>
      </xdr:pic>
      <xdr:cxnSp macro="">
        <xdr:nvCxnSpPr>
          <xdr:cNvPr id="13" name="Straight Connector 12">
            <a:extLst>
              <a:ext uri="{FF2B5EF4-FFF2-40B4-BE49-F238E27FC236}">
                <a16:creationId xmlns:a16="http://schemas.microsoft.com/office/drawing/2014/main" id="{2ADA92DE-72D5-C42F-EA08-6ACCC741CD17}"/>
              </a:ext>
            </a:extLst>
          </xdr:cNvPr>
          <xdr:cNvCxnSpPr>
            <a:cxnSpLocks/>
          </xdr:cNvCxnSpPr>
        </xdr:nvCxnSpPr>
        <xdr:spPr>
          <a:xfrm flipH="1" flipV="1">
            <a:off x="515695" y="5678374"/>
            <a:ext cx="3938643" cy="2130010"/>
          </a:xfrm>
          <a:prstGeom prst="line">
            <a:avLst/>
          </a:prstGeom>
        </xdr:spPr>
        <xdr:style>
          <a:lnRef idx="3">
            <a:schemeClr val="accent2"/>
          </a:lnRef>
          <a:fillRef idx="0">
            <a:schemeClr val="accent2"/>
          </a:fillRef>
          <a:effectRef idx="2">
            <a:schemeClr val="accent2"/>
          </a:effectRef>
          <a:fontRef idx="minor">
            <a:schemeClr val="tx1"/>
          </a:fontRef>
        </xdr:style>
      </xdr:cxnSp>
      <xdr:sp macro="" textlink="">
        <xdr:nvSpPr>
          <xdr:cNvPr id="39" name="TextBox 38">
            <a:extLst>
              <a:ext uri="{FF2B5EF4-FFF2-40B4-BE49-F238E27FC236}">
                <a16:creationId xmlns:a16="http://schemas.microsoft.com/office/drawing/2014/main" id="{7A2C71C0-8C91-4F15-A39A-F4760CF7C9E5}"/>
              </a:ext>
            </a:extLst>
          </xdr:cNvPr>
          <xdr:cNvSpPr txBox="1"/>
        </xdr:nvSpPr>
        <xdr:spPr>
          <a:xfrm>
            <a:off x="323850" y="2886075"/>
            <a:ext cx="720090" cy="22981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Figure 1</a:t>
            </a:r>
          </a:p>
        </xdr:txBody>
      </xdr:sp>
    </xdr:grpSp>
    <xdr:clientData fLocksWithSheet="0"/>
  </xdr:twoCellAnchor>
  <xdr:twoCellAnchor editAs="absolute">
    <xdr:from>
      <xdr:col>0</xdr:col>
      <xdr:colOff>130497</xdr:colOff>
      <xdr:row>46</xdr:row>
      <xdr:rowOff>19050</xdr:rowOff>
    </xdr:from>
    <xdr:to>
      <xdr:col>5</xdr:col>
      <xdr:colOff>266701</xdr:colOff>
      <xdr:row>74</xdr:row>
      <xdr:rowOff>1414</xdr:rowOff>
    </xdr:to>
    <xdr:grpSp>
      <xdr:nvGrpSpPr>
        <xdr:cNvPr id="48" name="Group 47">
          <a:extLst>
            <a:ext uri="{FF2B5EF4-FFF2-40B4-BE49-F238E27FC236}">
              <a16:creationId xmlns:a16="http://schemas.microsoft.com/office/drawing/2014/main" id="{535BB837-D67F-C533-F246-245B819D292B}"/>
            </a:ext>
          </a:extLst>
        </xdr:cNvPr>
        <xdr:cNvGrpSpPr>
          <a:grpSpLocks noChangeAspect="1"/>
        </xdr:cNvGrpSpPr>
      </xdr:nvGrpSpPr>
      <xdr:grpSpPr>
        <a:xfrm>
          <a:off x="134307" y="12254865"/>
          <a:ext cx="5161594" cy="5053474"/>
          <a:chOff x="225747" y="12542520"/>
          <a:chExt cx="5165404" cy="5066809"/>
        </a:xfrm>
      </xdr:grpSpPr>
      <xdr:pic>
        <xdr:nvPicPr>
          <xdr:cNvPr id="21" name="Picture 20">
            <a:extLst>
              <a:ext uri="{FF2B5EF4-FFF2-40B4-BE49-F238E27FC236}">
                <a16:creationId xmlns:a16="http://schemas.microsoft.com/office/drawing/2014/main" id="{B6CD8BE8-2DFB-C2D0-2976-BC1D994C633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508" t="9019" r="28896" b="5540"/>
          <a:stretch>
            <a:fillRect/>
          </a:stretch>
        </xdr:blipFill>
        <xdr:spPr>
          <a:xfrm>
            <a:off x="225747" y="12699862"/>
            <a:ext cx="5165404" cy="4909467"/>
          </a:xfrm>
          <a:prstGeom prst="rect">
            <a:avLst/>
          </a:prstGeom>
        </xdr:spPr>
      </xdr:pic>
      <xdr:cxnSp macro="">
        <xdr:nvCxnSpPr>
          <xdr:cNvPr id="30" name="Straight Connector 29">
            <a:extLst>
              <a:ext uri="{FF2B5EF4-FFF2-40B4-BE49-F238E27FC236}">
                <a16:creationId xmlns:a16="http://schemas.microsoft.com/office/drawing/2014/main" id="{751F929A-F7C5-446D-B6BF-514FFDC51E6F}"/>
              </a:ext>
            </a:extLst>
          </xdr:cNvPr>
          <xdr:cNvCxnSpPr/>
        </xdr:nvCxnSpPr>
        <xdr:spPr>
          <a:xfrm flipH="1" flipV="1">
            <a:off x="3162977" y="14836280"/>
            <a:ext cx="2024338" cy="539"/>
          </a:xfrm>
          <a:prstGeom prst="line">
            <a:avLst/>
          </a:prstGeom>
        </xdr:spPr>
        <xdr:style>
          <a:lnRef idx="3">
            <a:schemeClr val="accent2"/>
          </a:lnRef>
          <a:fillRef idx="0">
            <a:schemeClr val="accent2"/>
          </a:fillRef>
          <a:effectRef idx="2">
            <a:schemeClr val="accent2"/>
          </a:effectRef>
          <a:fontRef idx="minor">
            <a:schemeClr val="tx1"/>
          </a:fontRef>
        </xdr:style>
      </xdr:cxnSp>
      <xdr:sp macro="" textlink="">
        <xdr:nvSpPr>
          <xdr:cNvPr id="10" name="TextBox 9">
            <a:extLst>
              <a:ext uri="{FF2B5EF4-FFF2-40B4-BE49-F238E27FC236}">
                <a16:creationId xmlns:a16="http://schemas.microsoft.com/office/drawing/2014/main" id="{BB19E14A-36B8-4095-A7D0-021DB4AEA987}"/>
              </a:ext>
            </a:extLst>
          </xdr:cNvPr>
          <xdr:cNvSpPr txBox="1">
            <a:spLocks noChangeAspect="1"/>
          </xdr:cNvSpPr>
        </xdr:nvSpPr>
        <xdr:spPr>
          <a:xfrm>
            <a:off x="1730615" y="14818610"/>
            <a:ext cx="268781" cy="15648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a:t>2000</a:t>
            </a:r>
          </a:p>
        </xdr:txBody>
      </xdr:sp>
      <xdr:sp macro="" textlink="">
        <xdr:nvSpPr>
          <xdr:cNvPr id="20" name="TextBox 19">
            <a:extLst>
              <a:ext uri="{FF2B5EF4-FFF2-40B4-BE49-F238E27FC236}">
                <a16:creationId xmlns:a16="http://schemas.microsoft.com/office/drawing/2014/main" id="{0397ABDB-3C3B-4DED-A730-D542E2C34BB7}"/>
              </a:ext>
            </a:extLst>
          </xdr:cNvPr>
          <xdr:cNvSpPr txBox="1">
            <a:spLocks noChangeAspect="1"/>
          </xdr:cNvSpPr>
        </xdr:nvSpPr>
        <xdr:spPr>
          <a:xfrm>
            <a:off x="4649666" y="14391627"/>
            <a:ext cx="265562" cy="14695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a:t>0.3</a:t>
            </a:r>
          </a:p>
        </xdr:txBody>
      </xdr:sp>
      <xdr:sp macro="" textlink="">
        <xdr:nvSpPr>
          <xdr:cNvPr id="26" name="TextBox 25">
            <a:extLst>
              <a:ext uri="{FF2B5EF4-FFF2-40B4-BE49-F238E27FC236}">
                <a16:creationId xmlns:a16="http://schemas.microsoft.com/office/drawing/2014/main" id="{5818405A-07D5-4E78-B1F2-7B2CFFC7A658}"/>
              </a:ext>
            </a:extLst>
          </xdr:cNvPr>
          <xdr:cNvSpPr txBox="1">
            <a:spLocks noChangeAspect="1"/>
          </xdr:cNvSpPr>
        </xdr:nvSpPr>
        <xdr:spPr>
          <a:xfrm>
            <a:off x="608297" y="15003956"/>
            <a:ext cx="113970" cy="17780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a:t>5</a:t>
            </a:r>
          </a:p>
        </xdr:txBody>
      </xdr:sp>
      <xdr:cxnSp macro="">
        <xdr:nvCxnSpPr>
          <xdr:cNvPr id="24" name="Straight Connector 23">
            <a:extLst>
              <a:ext uri="{FF2B5EF4-FFF2-40B4-BE49-F238E27FC236}">
                <a16:creationId xmlns:a16="http://schemas.microsoft.com/office/drawing/2014/main" id="{F13D15E3-97F4-4F1C-81E2-B748C1F41ED2}"/>
              </a:ext>
            </a:extLst>
          </xdr:cNvPr>
          <xdr:cNvCxnSpPr/>
        </xdr:nvCxnSpPr>
        <xdr:spPr>
          <a:xfrm flipH="1">
            <a:off x="778329" y="14840629"/>
            <a:ext cx="2403021" cy="341653"/>
          </a:xfrm>
          <a:prstGeom prst="line">
            <a:avLst/>
          </a:prstGeom>
        </xdr:spPr>
        <xdr:style>
          <a:lnRef idx="3">
            <a:schemeClr val="accent2"/>
          </a:lnRef>
          <a:fillRef idx="0">
            <a:schemeClr val="accent2"/>
          </a:fillRef>
          <a:effectRef idx="2">
            <a:schemeClr val="accent2"/>
          </a:effectRef>
          <a:fontRef idx="minor">
            <a:schemeClr val="tx1"/>
          </a:fontRef>
        </xdr:style>
      </xdr:cxnSp>
      <xdr:sp macro="" textlink="">
        <xdr:nvSpPr>
          <xdr:cNvPr id="42" name="TextBox 41">
            <a:extLst>
              <a:ext uri="{FF2B5EF4-FFF2-40B4-BE49-F238E27FC236}">
                <a16:creationId xmlns:a16="http://schemas.microsoft.com/office/drawing/2014/main" id="{1E7538B6-870D-4A9E-97E0-FE2F0310BDA6}"/>
              </a:ext>
            </a:extLst>
          </xdr:cNvPr>
          <xdr:cNvSpPr txBox="1"/>
        </xdr:nvSpPr>
        <xdr:spPr>
          <a:xfrm>
            <a:off x="316230" y="12542520"/>
            <a:ext cx="710565" cy="23411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Figure 2</a:t>
            </a:r>
          </a:p>
        </xdr:txBody>
      </xdr:sp>
    </xdr:grpSp>
    <xdr:clientData fLocksWithSheet="0"/>
  </xdr:twoCellAnchor>
  <xdr:twoCellAnchor editAs="absolute">
    <xdr:from>
      <xdr:col>5</xdr:col>
      <xdr:colOff>502253</xdr:colOff>
      <xdr:row>46</xdr:row>
      <xdr:rowOff>55245</xdr:rowOff>
    </xdr:from>
    <xdr:to>
      <xdr:col>9</xdr:col>
      <xdr:colOff>499063</xdr:colOff>
      <xdr:row>75</xdr:row>
      <xdr:rowOff>131635</xdr:rowOff>
    </xdr:to>
    <xdr:grpSp>
      <xdr:nvGrpSpPr>
        <xdr:cNvPr id="44" name="Group 43">
          <a:extLst>
            <a:ext uri="{FF2B5EF4-FFF2-40B4-BE49-F238E27FC236}">
              <a16:creationId xmlns:a16="http://schemas.microsoft.com/office/drawing/2014/main" id="{5BF51722-7D5E-1DA2-9904-B0F5A50CADFB}"/>
            </a:ext>
          </a:extLst>
        </xdr:cNvPr>
        <xdr:cNvGrpSpPr>
          <a:grpSpLocks noChangeAspect="1"/>
        </xdr:cNvGrpSpPr>
      </xdr:nvGrpSpPr>
      <xdr:grpSpPr>
        <a:xfrm>
          <a:off x="5533358" y="12298680"/>
          <a:ext cx="3995405" cy="5324665"/>
          <a:chOff x="5683853" y="12512040"/>
          <a:chExt cx="3982070" cy="5328475"/>
        </a:xfrm>
      </xdr:grpSpPr>
      <xdr:pic>
        <xdr:nvPicPr>
          <xdr:cNvPr id="23" name="Picture 22">
            <a:extLst>
              <a:ext uri="{FF2B5EF4-FFF2-40B4-BE49-F238E27FC236}">
                <a16:creationId xmlns:a16="http://schemas.microsoft.com/office/drawing/2014/main" id="{A98E4918-D882-D738-63E6-9A581ACDA4A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255" t="13421" r="8275" b="8485"/>
          <a:stretch>
            <a:fillRect/>
          </a:stretch>
        </xdr:blipFill>
        <xdr:spPr>
          <a:xfrm>
            <a:off x="5683853" y="12633012"/>
            <a:ext cx="3982070" cy="5207503"/>
          </a:xfrm>
          <a:prstGeom prst="rect">
            <a:avLst/>
          </a:prstGeom>
        </xdr:spPr>
      </xdr:pic>
      <xdr:cxnSp macro="">
        <xdr:nvCxnSpPr>
          <xdr:cNvPr id="32" name="Straight Connector 31">
            <a:extLst>
              <a:ext uri="{FF2B5EF4-FFF2-40B4-BE49-F238E27FC236}">
                <a16:creationId xmlns:a16="http://schemas.microsoft.com/office/drawing/2014/main" id="{366AE3DD-E621-428B-AF91-4DF7EECCE4C9}"/>
              </a:ext>
            </a:extLst>
          </xdr:cNvPr>
          <xdr:cNvCxnSpPr/>
        </xdr:nvCxnSpPr>
        <xdr:spPr>
          <a:xfrm flipH="1">
            <a:off x="5875020" y="13858875"/>
            <a:ext cx="3680460" cy="798195"/>
          </a:xfrm>
          <a:prstGeom prst="line">
            <a:avLst/>
          </a:prstGeom>
        </xdr:spPr>
        <xdr:style>
          <a:lnRef idx="3">
            <a:schemeClr val="accent2"/>
          </a:lnRef>
          <a:fillRef idx="0">
            <a:schemeClr val="accent2"/>
          </a:fillRef>
          <a:effectRef idx="2">
            <a:schemeClr val="accent2"/>
          </a:effectRef>
          <a:fontRef idx="minor">
            <a:schemeClr val="tx1"/>
          </a:fontRef>
        </xdr:style>
      </xdr:cxnSp>
      <xdr:cxnSp macro="">
        <xdr:nvCxnSpPr>
          <xdr:cNvPr id="35" name="Straight Connector 34">
            <a:extLst>
              <a:ext uri="{FF2B5EF4-FFF2-40B4-BE49-F238E27FC236}">
                <a16:creationId xmlns:a16="http://schemas.microsoft.com/office/drawing/2014/main" id="{E03CB616-9449-402C-A839-76B3CB41F2B5}"/>
              </a:ext>
            </a:extLst>
          </xdr:cNvPr>
          <xdr:cNvCxnSpPr/>
        </xdr:nvCxnSpPr>
        <xdr:spPr>
          <a:xfrm flipH="1" flipV="1">
            <a:off x="6406515" y="14375130"/>
            <a:ext cx="1704975" cy="285750"/>
          </a:xfrm>
          <a:prstGeom prst="line">
            <a:avLst/>
          </a:prstGeom>
        </xdr:spPr>
        <xdr:style>
          <a:lnRef idx="3">
            <a:schemeClr val="accent2"/>
          </a:lnRef>
          <a:fillRef idx="0">
            <a:schemeClr val="accent2"/>
          </a:fillRef>
          <a:effectRef idx="2">
            <a:schemeClr val="accent2"/>
          </a:effectRef>
          <a:fontRef idx="minor">
            <a:schemeClr val="tx1"/>
          </a:fontRef>
        </xdr:style>
      </xdr:cxnSp>
      <xdr:sp macro="" textlink="">
        <xdr:nvSpPr>
          <xdr:cNvPr id="43" name="TextBox 42">
            <a:extLst>
              <a:ext uri="{FF2B5EF4-FFF2-40B4-BE49-F238E27FC236}">
                <a16:creationId xmlns:a16="http://schemas.microsoft.com/office/drawing/2014/main" id="{722A6E8A-8034-4AFB-95EF-020076FB9AD1}"/>
              </a:ext>
            </a:extLst>
          </xdr:cNvPr>
          <xdr:cNvSpPr txBox="1"/>
        </xdr:nvSpPr>
        <xdr:spPr>
          <a:xfrm>
            <a:off x="5808345" y="12512040"/>
            <a:ext cx="704850" cy="23576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t>Figure 3</a:t>
            </a:r>
          </a:p>
        </xdr:txBody>
      </xdr:sp>
    </xdr:grp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134471</xdr:colOff>
      <xdr:row>0</xdr:row>
      <xdr:rowOff>0</xdr:rowOff>
    </xdr:from>
    <xdr:to>
      <xdr:col>0</xdr:col>
      <xdr:colOff>625962</xdr:colOff>
      <xdr:row>3</xdr:row>
      <xdr:rowOff>59608</xdr:rowOff>
    </xdr:to>
    <xdr:pic>
      <xdr:nvPicPr>
        <xdr:cNvPr id="2" name="Picture 1" descr="Vertical Version of the BC Mark. Sunrise Logo over the words, Ministry of Forests.">
          <a:extLst>
            <a:ext uri="{FF2B5EF4-FFF2-40B4-BE49-F238E27FC236}">
              <a16:creationId xmlns:a16="http://schemas.microsoft.com/office/drawing/2014/main" id="{D632B03A-87DC-649B-BE47-E45FFF33559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364" t="14754" r="16955" b="12763"/>
        <a:stretch>
          <a:fillRect/>
        </a:stretch>
      </xdr:blipFill>
      <xdr:spPr bwMode="auto">
        <a:xfrm>
          <a:off x="134471" y="0"/>
          <a:ext cx="495301" cy="60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Ward, Sasha V FOR:EX" id="{B14AD590-D3F6-4CF2-94E4-E5AE298FF684}" userId="S::Sasha.Ward@gov.bc.ca::62ed488e-2b8a-4ccd-8706-7a3fe6f46b91"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20" dT="2026-01-12T17:37:57.67" personId="{B14AD590-D3F6-4CF2-94E4-E5AE298FF684}" id="{5CDBE88C-1B9A-46C8-88DA-35C8DE506DB1}">
    <text>This value is often doubled to account for overland flow as well as chanelized flow</tex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idf-cc-uwo.ca/hom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49506-3D84-4052-B2EF-1D3FF64DBEC2}">
  <dimension ref="A1:A49"/>
  <sheetViews>
    <sheetView showGridLines="0" tabSelected="1" workbookViewId="0">
      <selection activeCell="A24" sqref="A24"/>
    </sheetView>
  </sheetViews>
  <sheetFormatPr defaultRowHeight="14.4" x14ac:dyDescent="0.3"/>
  <cols>
    <col min="1" max="1" width="137.33203125" style="6" customWidth="1"/>
  </cols>
  <sheetData>
    <row r="1" spans="1:1" ht="18" x14ac:dyDescent="0.35">
      <c r="A1" s="53" t="s">
        <v>0</v>
      </c>
    </row>
    <row r="2" spans="1:1" x14ac:dyDescent="0.3">
      <c r="A2" s="10" t="s">
        <v>233</v>
      </c>
    </row>
    <row r="3" spans="1:1" x14ac:dyDescent="0.3">
      <c r="A3" s="96" t="s">
        <v>192</v>
      </c>
    </row>
    <row r="4" spans="1:1" x14ac:dyDescent="0.3">
      <c r="A4" s="97" t="s">
        <v>195</v>
      </c>
    </row>
    <row r="5" spans="1:1" x14ac:dyDescent="0.3">
      <c r="A5" s="98" t="s">
        <v>222</v>
      </c>
    </row>
    <row r="6" spans="1:1" x14ac:dyDescent="0.3">
      <c r="A6" s="56" t="s">
        <v>197</v>
      </c>
    </row>
    <row r="7" spans="1:1" x14ac:dyDescent="0.3">
      <c r="A7" s="56" t="s">
        <v>196</v>
      </c>
    </row>
    <row r="8" spans="1:1" x14ac:dyDescent="0.3">
      <c r="A8" s="56" t="s">
        <v>198</v>
      </c>
    </row>
    <row r="9" spans="1:1" x14ac:dyDescent="0.3">
      <c r="A9" s="57"/>
    </row>
    <row r="10" spans="1:1" x14ac:dyDescent="0.3">
      <c r="A10" s="59" t="s">
        <v>1</v>
      </c>
    </row>
    <row r="11" spans="1:1" ht="57.6" x14ac:dyDescent="0.3">
      <c r="A11" s="54" t="s">
        <v>2</v>
      </c>
    </row>
    <row r="12" spans="1:1" ht="28.8" x14ac:dyDescent="0.3">
      <c r="A12" s="54" t="s">
        <v>3</v>
      </c>
    </row>
    <row r="13" spans="1:1" x14ac:dyDescent="0.3">
      <c r="A13" s="55"/>
    </row>
    <row r="14" spans="1:1" x14ac:dyDescent="0.3">
      <c r="A14" s="59" t="s">
        <v>4</v>
      </c>
    </row>
    <row r="15" spans="1:1" ht="16.2" x14ac:dyDescent="0.3">
      <c r="A15" s="56" t="s">
        <v>223</v>
      </c>
    </row>
    <row r="16" spans="1:1" x14ac:dyDescent="0.3">
      <c r="A16" s="56" t="s">
        <v>224</v>
      </c>
    </row>
    <row r="17" spans="1:1" x14ac:dyDescent="0.3">
      <c r="A17" s="56" t="s">
        <v>225</v>
      </c>
    </row>
    <row r="18" spans="1:1" ht="28.8" x14ac:dyDescent="0.3">
      <c r="A18" s="56" t="s">
        <v>226</v>
      </c>
    </row>
    <row r="19" spans="1:1" x14ac:dyDescent="0.3">
      <c r="A19" s="56" t="s">
        <v>227</v>
      </c>
    </row>
    <row r="20" spans="1:1" x14ac:dyDescent="0.3">
      <c r="A20" s="56" t="s">
        <v>228</v>
      </c>
    </row>
    <row r="21" spans="1:1" x14ac:dyDescent="0.3">
      <c r="A21" s="57"/>
    </row>
    <row r="22" spans="1:1" x14ac:dyDescent="0.3">
      <c r="A22" s="59" t="s">
        <v>5</v>
      </c>
    </row>
    <row r="23" spans="1:1" ht="57.6" x14ac:dyDescent="0.3">
      <c r="A23" s="58" t="s">
        <v>199</v>
      </c>
    </row>
    <row r="24" spans="1:1" ht="79.95" customHeight="1" x14ac:dyDescent="0.3">
      <c r="A24" s="58" t="s">
        <v>203</v>
      </c>
    </row>
    <row r="25" spans="1:1" ht="76.95" customHeight="1" x14ac:dyDescent="0.3">
      <c r="A25" s="54" t="s">
        <v>200</v>
      </c>
    </row>
    <row r="26" spans="1:1" ht="72" x14ac:dyDescent="0.3">
      <c r="A26" s="54" t="s">
        <v>201</v>
      </c>
    </row>
    <row r="27" spans="1:1" x14ac:dyDescent="0.3">
      <c r="A27" s="57"/>
    </row>
    <row r="28" spans="1:1" x14ac:dyDescent="0.3">
      <c r="A28" s="59" t="s">
        <v>6</v>
      </c>
    </row>
    <row r="29" spans="1:1" x14ac:dyDescent="0.3">
      <c r="A29" s="60" t="s">
        <v>7</v>
      </c>
    </row>
    <row r="30" spans="1:1" x14ac:dyDescent="0.3">
      <c r="A30" s="61" t="s">
        <v>8</v>
      </c>
    </row>
    <row r="31" spans="1:1" x14ac:dyDescent="0.3">
      <c r="A31" s="62" t="s">
        <v>9</v>
      </c>
    </row>
    <row r="32" spans="1:1" x14ac:dyDescent="0.3">
      <c r="A32" s="99" t="s">
        <v>202</v>
      </c>
    </row>
    <row r="33" spans="1:1" ht="72" x14ac:dyDescent="0.3">
      <c r="A33" s="57" t="s">
        <v>229</v>
      </c>
    </row>
    <row r="34" spans="1:1" x14ac:dyDescent="0.3">
      <c r="A34" s="99" t="s">
        <v>10</v>
      </c>
    </row>
    <row r="35" spans="1:1" ht="28.8" x14ac:dyDescent="0.3">
      <c r="A35" s="57" t="s">
        <v>11</v>
      </c>
    </row>
    <row r="36" spans="1:1" x14ac:dyDescent="0.3">
      <c r="A36" s="63" t="s">
        <v>12</v>
      </c>
    </row>
    <row r="37" spans="1:1" ht="28.8" x14ac:dyDescent="0.3">
      <c r="A37" s="56" t="s">
        <v>13</v>
      </c>
    </row>
    <row r="38" spans="1:1" x14ac:dyDescent="0.3">
      <c r="A38" s="99" t="s">
        <v>14</v>
      </c>
    </row>
    <row r="39" spans="1:1" ht="28.8" x14ac:dyDescent="0.3">
      <c r="A39" s="57" t="s">
        <v>15</v>
      </c>
    </row>
    <row r="40" spans="1:1" x14ac:dyDescent="0.3">
      <c r="A40" s="99" t="s">
        <v>16</v>
      </c>
    </row>
    <row r="41" spans="1:1" ht="28.8" x14ac:dyDescent="0.3">
      <c r="A41" s="57" t="s">
        <v>230</v>
      </c>
    </row>
    <row r="42" spans="1:1" x14ac:dyDescent="0.3">
      <c r="A42" s="99" t="s">
        <v>17</v>
      </c>
    </row>
    <row r="43" spans="1:1" x14ac:dyDescent="0.3">
      <c r="A43" s="57" t="s">
        <v>18</v>
      </c>
    </row>
    <row r="44" spans="1:1" x14ac:dyDescent="0.3">
      <c r="A44" s="99" t="s">
        <v>19</v>
      </c>
    </row>
    <row r="45" spans="1:1" ht="28.8" x14ac:dyDescent="0.3">
      <c r="A45" s="57" t="s">
        <v>20</v>
      </c>
    </row>
    <row r="46" spans="1:1" x14ac:dyDescent="0.3">
      <c r="A46" s="63" t="s">
        <v>205</v>
      </c>
    </row>
    <row r="47" spans="1:1" x14ac:dyDescent="0.3">
      <c r="A47" s="56" t="s">
        <v>21</v>
      </c>
    </row>
    <row r="48" spans="1:1" x14ac:dyDescent="0.3">
      <c r="A48" s="59" t="s">
        <v>22</v>
      </c>
    </row>
    <row r="49" spans="1:1" x14ac:dyDescent="0.3">
      <c r="A49" s="57" t="s">
        <v>23</v>
      </c>
    </row>
  </sheetData>
  <sheetProtection algorithmName="SHA-512" hashValue="V8nmXTZVoQ/D/mUwErpdYHYLZotOMRkXN7EzLa16JnkpqIjMTQ0y3HRqm397RoOhFR0fKZvgLBKVNnPFomGuAg==" saltValue="Z4OFlFXCOSEIWlighwfL0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C6D20-7374-4032-9682-397E401387DC}">
  <dimension ref="A1:Y195"/>
  <sheetViews>
    <sheetView showGridLines="0" zoomScale="85" zoomScaleNormal="85" workbookViewId="0">
      <selection activeCell="M28" sqref="M28"/>
    </sheetView>
  </sheetViews>
  <sheetFormatPr defaultRowHeight="14.4" x14ac:dyDescent="0.3"/>
  <cols>
    <col min="1" max="1" width="45" customWidth="1"/>
    <col min="2" max="2" width="22.109375" customWidth="1"/>
    <col min="3" max="3" width="0.88671875" customWidth="1"/>
    <col min="5" max="5" width="11.33203125" customWidth="1"/>
    <col min="6" max="6" width="36.33203125" customWidth="1"/>
    <col min="10" max="10" width="21.44140625" customWidth="1"/>
    <col min="11" max="11" width="16" customWidth="1"/>
    <col min="12" max="12" width="14.77734375" customWidth="1"/>
    <col min="13" max="13" width="18.21875" customWidth="1"/>
    <col min="16" max="16" width="8.88671875" customWidth="1"/>
    <col min="17" max="17" width="14.5546875" hidden="1" customWidth="1"/>
  </cols>
  <sheetData>
    <row r="1" spans="1:25" ht="18.600000000000001" customHeight="1" x14ac:dyDescent="0.3">
      <c r="A1" s="64" t="s">
        <v>24</v>
      </c>
      <c r="B1" s="65" t="s">
        <v>25</v>
      </c>
      <c r="J1" s="2" t="s">
        <v>193</v>
      </c>
    </row>
    <row r="2" spans="1:25" ht="14.4" customHeight="1" x14ac:dyDescent="0.3">
      <c r="A2" s="64" t="s">
        <v>26</v>
      </c>
      <c r="B2" s="66" t="s">
        <v>27</v>
      </c>
      <c r="J2" s="130" t="s">
        <v>147</v>
      </c>
      <c r="K2" s="130"/>
      <c r="L2" s="130"/>
      <c r="M2" s="130"/>
      <c r="N2" s="130"/>
      <c r="O2" s="130"/>
      <c r="P2" s="130"/>
    </row>
    <row r="3" spans="1:25" ht="18" x14ac:dyDescent="0.35">
      <c r="A3" s="64" t="s">
        <v>28</v>
      </c>
      <c r="B3" s="67">
        <v>46055</v>
      </c>
      <c r="K3" s="17"/>
      <c r="L3" s="17"/>
      <c r="M3" s="17"/>
      <c r="N3" s="17"/>
      <c r="O3" s="17"/>
      <c r="P3" s="17"/>
      <c r="Q3" s="6" t="s">
        <v>161</v>
      </c>
    </row>
    <row r="4" spans="1:25" x14ac:dyDescent="0.3">
      <c r="A4" s="64" t="s">
        <v>29</v>
      </c>
      <c r="B4" s="66" t="s">
        <v>30</v>
      </c>
      <c r="J4" s="5" t="s">
        <v>50</v>
      </c>
      <c r="K4" s="75">
        <f>B20</f>
        <v>3</v>
      </c>
      <c r="Q4" s="6" t="s">
        <v>155</v>
      </c>
    </row>
    <row r="5" spans="1:25" x14ac:dyDescent="0.3">
      <c r="A5" s="64" t="s">
        <v>31</v>
      </c>
      <c r="B5" s="67">
        <v>46083</v>
      </c>
      <c r="J5" s="5" t="s">
        <v>148</v>
      </c>
      <c r="K5" s="91" t="str">
        <f>B21</f>
        <v>Alluvial Fan</v>
      </c>
      <c r="Q5" s="6" t="s">
        <v>158</v>
      </c>
    </row>
    <row r="6" spans="1:25" x14ac:dyDescent="0.3">
      <c r="A6" s="6"/>
      <c r="B6" s="6"/>
      <c r="J6" s="5" t="s">
        <v>149</v>
      </c>
      <c r="K6" s="76">
        <f>(C16-C17)/(SQRT(B13))</f>
        <v>2.572478777137633E-2</v>
      </c>
    </row>
    <row r="7" spans="1:25" ht="15" thickBot="1" x14ac:dyDescent="0.35">
      <c r="A7" s="2" t="s">
        <v>32</v>
      </c>
      <c r="B7" s="2"/>
    </row>
    <row r="8" spans="1:25" ht="21.6" customHeight="1" thickBot="1" x14ac:dyDescent="0.35">
      <c r="A8" s="8" t="s">
        <v>33</v>
      </c>
      <c r="B8" s="8" t="s">
        <v>34</v>
      </c>
      <c r="J8" s="19" t="s">
        <v>150</v>
      </c>
      <c r="K8" s="43" t="str">
        <f>IF(VALUE(K6)&lt;0.3, "Clear Flow flood",IF(AND(VALUE(K4)&lt;=2.7, VALUE(K6)&gt;0.6, ISNUMBER(SEARCH("alluvial fan", LOWER(TRIM(K5))))), "Debris Flow", IF(AND(VALUE(K4)&gt;2.7, VALUE(K6)&gt;0.3, VALUE(K6)&lt;0.6, ISNUMBER(SEARCH("alluvial fan", LOWER(TRIM(K5))))), "Debris Flood", "No match")))</f>
        <v>Clear Flow flood</v>
      </c>
      <c r="L8" t="str">
        <f>IF(K8="Clear Flow flood","","Consider an additional factor of safety in your pipe design and consider engaging a terrain specialist" )</f>
        <v/>
      </c>
    </row>
    <row r="9" spans="1:25" x14ac:dyDescent="0.3">
      <c r="A9" s="68" t="s">
        <v>35</v>
      </c>
      <c r="B9" s="69" t="s">
        <v>36</v>
      </c>
    </row>
    <row r="10" spans="1:25" x14ac:dyDescent="0.3">
      <c r="A10" s="68" t="s">
        <v>37</v>
      </c>
      <c r="B10" s="69" t="s">
        <v>38</v>
      </c>
      <c r="J10" s="120" t="s">
        <v>151</v>
      </c>
      <c r="K10" s="120" t="s">
        <v>149</v>
      </c>
      <c r="L10" s="120" t="s">
        <v>152</v>
      </c>
      <c r="M10" s="120" t="s">
        <v>150</v>
      </c>
    </row>
    <row r="11" spans="1:25" x14ac:dyDescent="0.3">
      <c r="A11" s="68" t="s">
        <v>39</v>
      </c>
      <c r="B11" s="69" t="s">
        <v>40</v>
      </c>
      <c r="J11" s="9" t="s">
        <v>153</v>
      </c>
      <c r="K11" s="9" t="s">
        <v>154</v>
      </c>
      <c r="L11" s="121" t="s">
        <v>52</v>
      </c>
      <c r="M11" s="87" t="s">
        <v>155</v>
      </c>
      <c r="W11" s="6"/>
    </row>
    <row r="12" spans="1:25" x14ac:dyDescent="0.3">
      <c r="A12" s="68" t="s">
        <v>41</v>
      </c>
      <c r="B12" s="69">
        <v>25</v>
      </c>
      <c r="J12" s="9" t="s">
        <v>156</v>
      </c>
      <c r="K12" s="9" t="s">
        <v>157</v>
      </c>
      <c r="L12" s="121" t="s">
        <v>52</v>
      </c>
      <c r="M12" s="87" t="s">
        <v>158</v>
      </c>
      <c r="W12" s="6"/>
    </row>
    <row r="13" spans="1:25" ht="15.6" x14ac:dyDescent="0.3">
      <c r="A13" s="68" t="s">
        <v>42</v>
      </c>
      <c r="B13" s="69">
        <v>34</v>
      </c>
      <c r="J13" s="9" t="s">
        <v>159</v>
      </c>
      <c r="K13" s="9" t="s">
        <v>160</v>
      </c>
      <c r="L13" s="121" t="s">
        <v>159</v>
      </c>
      <c r="M13" s="87" t="s">
        <v>161</v>
      </c>
      <c r="N13" s="16"/>
      <c r="W13" s="6"/>
    </row>
    <row r="14" spans="1:25" ht="15.6" x14ac:dyDescent="0.3">
      <c r="A14" s="68" t="s">
        <v>43</v>
      </c>
      <c r="B14" s="92">
        <f>B13/100</f>
        <v>0.34</v>
      </c>
      <c r="J14" s="109"/>
      <c r="W14" s="6"/>
      <c r="X14" s="6"/>
      <c r="Y14" s="6"/>
    </row>
    <row r="15" spans="1:25" ht="15.6" x14ac:dyDescent="0.3">
      <c r="A15" s="68" t="s">
        <v>44</v>
      </c>
      <c r="B15" s="69">
        <v>450</v>
      </c>
      <c r="C15">
        <f>B15/1000</f>
        <v>0.45</v>
      </c>
      <c r="J15" s="110"/>
    </row>
    <row r="16" spans="1:25" x14ac:dyDescent="0.3">
      <c r="A16" s="68" t="s">
        <v>45</v>
      </c>
      <c r="B16" s="69">
        <v>500</v>
      </c>
      <c r="C16">
        <f>B16/1000</f>
        <v>0.5</v>
      </c>
    </row>
    <row r="17" spans="1:15" x14ac:dyDescent="0.3">
      <c r="A17" s="68" t="s">
        <v>46</v>
      </c>
      <c r="B17" s="69">
        <v>350</v>
      </c>
      <c r="C17">
        <f>B17/1000</f>
        <v>0.35</v>
      </c>
      <c r="F17" t="s">
        <v>47</v>
      </c>
    </row>
    <row r="18" spans="1:15" x14ac:dyDescent="0.3">
      <c r="A18" s="68" t="s">
        <v>48</v>
      </c>
      <c r="B18" s="70">
        <v>33</v>
      </c>
      <c r="J18" s="2" t="s">
        <v>194</v>
      </c>
    </row>
    <row r="19" spans="1:15" x14ac:dyDescent="0.3">
      <c r="A19" s="68" t="s">
        <v>49</v>
      </c>
      <c r="B19" s="70">
        <v>25</v>
      </c>
      <c r="C19">
        <f>B19/100</f>
        <v>0.25</v>
      </c>
      <c r="J19" s="112" t="s">
        <v>204</v>
      </c>
      <c r="K19" s="112"/>
      <c r="L19" s="112"/>
      <c r="M19" s="112"/>
      <c r="N19" s="112"/>
      <c r="O19" s="112"/>
    </row>
    <row r="20" spans="1:15" x14ac:dyDescent="0.3">
      <c r="A20" s="68" t="s">
        <v>50</v>
      </c>
      <c r="B20" s="69">
        <v>3</v>
      </c>
      <c r="G20" s="112" t="s">
        <v>207</v>
      </c>
      <c r="H20" s="112"/>
      <c r="I20" s="112"/>
      <c r="J20" s="100" t="str">
        <f>IF(B14&gt;10,"CATCHMENT LARGER THAN 10KM², DESIGN SHOULD INVOLVE P.ENG","NO CONCERN")</f>
        <v>NO CONCERN</v>
      </c>
    </row>
    <row r="21" spans="1:15" x14ac:dyDescent="0.3">
      <c r="A21" s="68" t="s">
        <v>51</v>
      </c>
      <c r="B21" s="69" t="s">
        <v>52</v>
      </c>
      <c r="G21" s="112" t="s">
        <v>208</v>
      </c>
      <c r="H21" s="112"/>
      <c r="I21" s="112"/>
      <c r="J21" s="100" t="str">
        <f>IF(K8=Q3,"NO CONCERN","CONTACT TERRAIN SPECIALIST")</f>
        <v>NO CONCERN</v>
      </c>
    </row>
    <row r="39" spans="1:1" x14ac:dyDescent="0.3">
      <c r="A39" t="s">
        <v>53</v>
      </c>
    </row>
    <row r="40" spans="1:1" x14ac:dyDescent="0.3">
      <c r="A40" t="s">
        <v>54</v>
      </c>
    </row>
    <row r="72" ht="95.4" customHeight="1" x14ac:dyDescent="0.3"/>
    <row r="195" ht="64.95" customHeight="1" x14ac:dyDescent="0.3"/>
  </sheetData>
  <sheetProtection algorithmName="SHA-512" hashValue="yXe47RIBDyKd0UrGdZ6cJFAgyzy4CLkS9U9X3cyqn+E+sOyEXP5GbaNfZsLB6sfxMwInej3YfDeiav9b2q72Qg==" saltValue="eF4nfD3LHt0nT23Lht9C8w==" spinCount="100000" sheet="1" objects="1" scenarios="1"/>
  <mergeCells count="1">
    <mergeCell ref="J2:P2"/>
  </mergeCells>
  <dataValidations disablePrompts="1" count="1">
    <dataValidation type="list" allowBlank="1" showInputMessage="1" showErrorMessage="1" promptTitle="Landform of concern" prompt="if a landform of concern for debris flows or floods has been identified, select it here" sqref="B21" xr:uid="{E938686A-B9EB-46F2-8A83-AB83116A1352}">
      <formula1>"Alluvial Fan, Gully, N/A"</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4062A-C863-4113-8EA8-99C76FB104C5}">
  <dimension ref="A1:I14"/>
  <sheetViews>
    <sheetView showGridLines="0" zoomScaleNormal="100" workbookViewId="0">
      <selection sqref="A1:F1"/>
    </sheetView>
  </sheetViews>
  <sheetFormatPr defaultRowHeight="14.4" x14ac:dyDescent="0.3"/>
  <cols>
    <col min="1" max="1" width="32.109375" customWidth="1"/>
    <col min="2" max="2" width="7.88671875" customWidth="1"/>
    <col min="3" max="3" width="8.5546875" bestFit="1" customWidth="1"/>
    <col min="8" max="8" width="24.6640625" customWidth="1"/>
    <col min="9" max="9" width="18.33203125" customWidth="1"/>
  </cols>
  <sheetData>
    <row r="1" spans="1:9" ht="30.6" x14ac:dyDescent="0.3">
      <c r="A1" s="133" t="s">
        <v>55</v>
      </c>
      <c r="B1" s="133"/>
      <c r="C1" s="133"/>
      <c r="D1" s="133"/>
      <c r="E1" s="133"/>
      <c r="F1" s="133"/>
      <c r="H1" s="20" t="s">
        <v>56</v>
      </c>
      <c r="I1" s="20" t="s">
        <v>57</v>
      </c>
    </row>
    <row r="2" spans="1:9" ht="16.2" customHeight="1" x14ac:dyDescent="0.3">
      <c r="A2" s="134" t="s">
        <v>209</v>
      </c>
      <c r="B2" s="134"/>
      <c r="C2" s="108"/>
      <c r="D2" s="108"/>
      <c r="E2" s="108"/>
      <c r="F2" s="108"/>
      <c r="H2" s="20"/>
      <c r="I2" s="20"/>
    </row>
    <row r="3" spans="1:9" x14ac:dyDescent="0.3">
      <c r="A3" s="71"/>
      <c r="B3" s="72" t="s">
        <v>58</v>
      </c>
      <c r="C3" s="72" t="s">
        <v>59</v>
      </c>
      <c r="D3" s="72" t="s">
        <v>60</v>
      </c>
      <c r="E3" s="72" t="s">
        <v>61</v>
      </c>
      <c r="F3" s="72" t="s">
        <v>62</v>
      </c>
      <c r="H3" s="18">
        <v>0.13</v>
      </c>
      <c r="I3" s="9">
        <v>400</v>
      </c>
    </row>
    <row r="4" spans="1:9" x14ac:dyDescent="0.3">
      <c r="A4" s="5" t="s">
        <v>63</v>
      </c>
      <c r="B4" s="73">
        <v>5</v>
      </c>
      <c r="C4" s="73">
        <v>10</v>
      </c>
      <c r="D4" s="73">
        <v>15</v>
      </c>
      <c r="E4" s="74"/>
      <c r="F4" s="74"/>
      <c r="H4" s="18">
        <v>0.2</v>
      </c>
      <c r="I4" s="9">
        <v>500</v>
      </c>
    </row>
    <row r="5" spans="1:9" ht="15.6" x14ac:dyDescent="0.35">
      <c r="A5" s="5" t="s">
        <v>64</v>
      </c>
      <c r="B5" s="73">
        <v>3.5</v>
      </c>
      <c r="C5" s="73">
        <v>3.5</v>
      </c>
      <c r="D5" s="73">
        <v>3.4</v>
      </c>
      <c r="E5" s="74"/>
      <c r="F5" s="74"/>
      <c r="H5" s="18">
        <v>0.28000000000000003</v>
      </c>
      <c r="I5" s="9">
        <v>600</v>
      </c>
    </row>
    <row r="6" spans="1:9" ht="15.6" x14ac:dyDescent="0.35">
      <c r="A6" s="5" t="s">
        <v>65</v>
      </c>
      <c r="B6" s="73">
        <v>1.8</v>
      </c>
      <c r="C6" s="73">
        <v>1.9</v>
      </c>
      <c r="D6" s="73">
        <v>2</v>
      </c>
      <c r="E6" s="74"/>
      <c r="F6" s="74"/>
      <c r="H6" s="18">
        <v>0.5</v>
      </c>
      <c r="I6" s="9">
        <v>800</v>
      </c>
    </row>
    <row r="7" spans="1:9" x14ac:dyDescent="0.3">
      <c r="A7" s="5" t="s">
        <v>66</v>
      </c>
      <c r="B7" s="73">
        <v>0.2</v>
      </c>
      <c r="C7" s="73">
        <v>0.3</v>
      </c>
      <c r="D7" s="73">
        <v>0.4</v>
      </c>
      <c r="E7" s="74"/>
      <c r="F7" s="74"/>
      <c r="H7" s="18">
        <v>0.64</v>
      </c>
      <c r="I7" s="9">
        <v>900</v>
      </c>
    </row>
    <row r="8" spans="1:9" ht="15.6" x14ac:dyDescent="0.35">
      <c r="A8" s="5" t="s">
        <v>67</v>
      </c>
      <c r="B8" s="75">
        <f>AVERAGE(B5:F5)</f>
        <v>3.4666666666666668</v>
      </c>
      <c r="H8" s="18">
        <v>0.79</v>
      </c>
      <c r="I8" s="9">
        <v>1000</v>
      </c>
    </row>
    <row r="9" spans="1:9" ht="15.6" x14ac:dyDescent="0.35">
      <c r="A9" s="5" t="s">
        <v>68</v>
      </c>
      <c r="B9" s="75">
        <f>AVERAGE(B6:F6)</f>
        <v>1.9000000000000001</v>
      </c>
      <c r="H9" s="18">
        <v>1.1299999999999999</v>
      </c>
      <c r="I9" s="9">
        <v>1200</v>
      </c>
    </row>
    <row r="10" spans="1:9" x14ac:dyDescent="0.3">
      <c r="A10" s="5" t="s">
        <v>69</v>
      </c>
      <c r="B10" s="75">
        <f>AVERAGE(B7:F7)</f>
        <v>0.3</v>
      </c>
      <c r="H10" s="18">
        <v>1.54</v>
      </c>
      <c r="I10" s="9">
        <v>1400</v>
      </c>
    </row>
    <row r="11" spans="1:9" x14ac:dyDescent="0.3">
      <c r="A11" s="5" t="s">
        <v>70</v>
      </c>
      <c r="B11" s="76">
        <f>(($B$8+$B$9)/2)*B10</f>
        <v>0.80500000000000005</v>
      </c>
      <c r="H11" s="18">
        <v>2.0099999999999998</v>
      </c>
      <c r="I11" s="9">
        <v>1600</v>
      </c>
    </row>
    <row r="12" spans="1:9" x14ac:dyDescent="0.3">
      <c r="A12" s="5" t="s">
        <v>71</v>
      </c>
      <c r="B12" s="76">
        <f>$B$11*3</f>
        <v>2.415</v>
      </c>
      <c r="H12" s="18">
        <v>2.54</v>
      </c>
      <c r="I12" s="9">
        <v>1800</v>
      </c>
    </row>
    <row r="13" spans="1:9" ht="15" thickBot="1" x14ac:dyDescent="0.35">
      <c r="H13" s="21"/>
      <c r="I13" s="22"/>
    </row>
    <row r="14" spans="1:9" ht="15" thickBot="1" x14ac:dyDescent="0.35">
      <c r="A14" s="23" t="s">
        <v>72</v>
      </c>
      <c r="B14" s="131">
        <f>_xlfn.XLOOKUP(B12,H3:H12,I3:I12,"Major Culvert Required", 1)</f>
        <v>1800</v>
      </c>
      <c r="C14" s="131"/>
      <c r="D14" s="132"/>
      <c r="E14" t="str">
        <f>IF(B14="Major Culvert Required","Engage with a P.Eng. For further design","" )</f>
        <v/>
      </c>
    </row>
  </sheetData>
  <sheetProtection algorithmName="SHA-512" hashValue="JAFr8MTrrp6s90Jhs8T+KQno0pC1IR5Z07xQPeS2EoetyIjdXfIE/xCD7KIN0yCCHCXRGJYyURQfD2Xm/ZoH7Q==" saltValue="Z127P3VIwTGs7eCRpcgPQQ==" spinCount="100000" sheet="1" objects="1" scenarios="1"/>
  <mergeCells count="3">
    <mergeCell ref="B14:D14"/>
    <mergeCell ref="A1:F1"/>
    <mergeCell ref="A2:B2"/>
  </mergeCells>
  <phoneticPr fontId="1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9196E-360E-416F-BE7C-DBE93E5B6EC1}">
  <dimension ref="A1:O25"/>
  <sheetViews>
    <sheetView showGridLines="0" workbookViewId="0">
      <selection activeCell="B5" sqref="B5"/>
    </sheetView>
  </sheetViews>
  <sheetFormatPr defaultRowHeight="14.4" x14ac:dyDescent="0.3"/>
  <cols>
    <col min="1" max="1" width="43.5546875" customWidth="1"/>
    <col min="2" max="2" width="12.6640625" customWidth="1"/>
    <col min="14" max="14" width="15" bestFit="1" customWidth="1"/>
  </cols>
  <sheetData>
    <row r="1" spans="1:15" x14ac:dyDescent="0.3">
      <c r="A1" s="2" t="s">
        <v>73</v>
      </c>
      <c r="B1" s="2"/>
      <c r="C1" s="2"/>
    </row>
    <row r="2" spans="1:15" ht="45.6" customHeight="1" x14ac:dyDescent="0.3">
      <c r="A2" s="135" t="s">
        <v>74</v>
      </c>
      <c r="B2" s="135"/>
      <c r="C2" s="135"/>
      <c r="D2" s="135"/>
      <c r="E2" s="135"/>
      <c r="F2" s="135"/>
      <c r="G2" s="135"/>
      <c r="H2" s="135"/>
      <c r="I2" s="135"/>
      <c r="J2" s="135"/>
      <c r="K2" s="135"/>
      <c r="L2" s="135"/>
    </row>
    <row r="4" spans="1:15" ht="21" customHeight="1" x14ac:dyDescent="0.3">
      <c r="A4" t="s">
        <v>75</v>
      </c>
    </row>
    <row r="5" spans="1:15" x14ac:dyDescent="0.3">
      <c r="A5" s="5" t="s">
        <v>76</v>
      </c>
      <c r="B5" s="77">
        <v>15</v>
      </c>
    </row>
    <row r="6" spans="1:15" x14ac:dyDescent="0.3">
      <c r="N6" s="11" t="s">
        <v>77</v>
      </c>
      <c r="O6" s="11" t="s">
        <v>78</v>
      </c>
    </row>
    <row r="7" spans="1:15" s="6" customFormat="1" ht="28.8" x14ac:dyDescent="0.3">
      <c r="A7" s="6" t="s">
        <v>210</v>
      </c>
      <c r="N7" s="64" t="s">
        <v>79</v>
      </c>
      <c r="O7" s="113">
        <v>0</v>
      </c>
    </row>
    <row r="8" spans="1:15" x14ac:dyDescent="0.3">
      <c r="A8" s="5" t="s">
        <v>80</v>
      </c>
      <c r="B8" s="76">
        <f>SQRT('A - Site Data and Screening'!B14)</f>
        <v>0.5830951894845301</v>
      </c>
      <c r="N8" s="5" t="s">
        <v>81</v>
      </c>
      <c r="O8" s="14">
        <v>0.01</v>
      </c>
    </row>
    <row r="9" spans="1:15" x14ac:dyDescent="0.3">
      <c r="A9" s="64" t="s">
        <v>82</v>
      </c>
      <c r="B9" s="5"/>
      <c r="N9" s="5" t="s">
        <v>83</v>
      </c>
      <c r="O9" s="14">
        <v>2.5000000000000001E-2</v>
      </c>
    </row>
    <row r="10" spans="1:15" x14ac:dyDescent="0.3">
      <c r="A10" s="5" t="s">
        <v>84</v>
      </c>
      <c r="B10" s="78">
        <v>0.6</v>
      </c>
      <c r="N10" s="5" t="s">
        <v>85</v>
      </c>
      <c r="O10" s="15" t="s">
        <v>86</v>
      </c>
    </row>
    <row r="11" spans="1:15" x14ac:dyDescent="0.3">
      <c r="A11" s="5" t="s">
        <v>76</v>
      </c>
      <c r="B11" s="79">
        <f>B10*60</f>
        <v>36</v>
      </c>
      <c r="O11" s="52"/>
    </row>
    <row r="13" spans="1:15" x14ac:dyDescent="0.3">
      <c r="A13" t="s">
        <v>87</v>
      </c>
    </row>
    <row r="14" spans="1:15" x14ac:dyDescent="0.3">
      <c r="A14" s="5" t="s">
        <v>88</v>
      </c>
      <c r="B14" s="5"/>
    </row>
    <row r="15" spans="1:15" x14ac:dyDescent="0.3">
      <c r="A15" s="68" t="s">
        <v>44</v>
      </c>
      <c r="B15" s="80">
        <f>'A - Site Data and Screening'!B15</f>
        <v>450</v>
      </c>
    </row>
    <row r="16" spans="1:15" x14ac:dyDescent="0.3">
      <c r="A16" s="68" t="s">
        <v>89</v>
      </c>
      <c r="B16" s="81">
        <f>'A - Site Data and Screening'!B18/100</f>
        <v>0.33</v>
      </c>
    </row>
    <row r="17" spans="1:3" x14ac:dyDescent="0.3">
      <c r="A17" s="64" t="s">
        <v>90</v>
      </c>
      <c r="B17" s="80">
        <f>'A - Site Data and Screening'!B16</f>
        <v>500</v>
      </c>
    </row>
    <row r="18" spans="1:3" x14ac:dyDescent="0.3">
      <c r="A18" s="5" t="s">
        <v>84</v>
      </c>
      <c r="B18" s="76">
        <f>0.00032*((B15)^0.77)*((B16)^-0.385)</f>
        <v>5.4137194635058929E-2</v>
      </c>
    </row>
    <row r="19" spans="1:3" x14ac:dyDescent="0.3">
      <c r="A19" s="5" t="s">
        <v>91</v>
      </c>
      <c r="B19" s="82">
        <f>B18*60</f>
        <v>3.2482316781035356</v>
      </c>
    </row>
    <row r="20" spans="1:3" x14ac:dyDescent="0.3">
      <c r="A20" s="5" t="s">
        <v>92</v>
      </c>
      <c r="B20" s="77">
        <f>B19*2</f>
        <v>6.4964633562070713</v>
      </c>
    </row>
    <row r="22" spans="1:3" ht="86.4" customHeight="1" x14ac:dyDescent="0.3">
      <c r="A22" s="135" t="s">
        <v>93</v>
      </c>
      <c r="B22" s="135"/>
      <c r="C22" s="135"/>
    </row>
    <row r="23" spans="1:3" ht="15" thickBot="1" x14ac:dyDescent="0.35"/>
    <row r="24" spans="1:3" ht="15" thickBot="1" x14ac:dyDescent="0.35">
      <c r="A24" s="23" t="s">
        <v>94</v>
      </c>
      <c r="B24" s="28" t="s">
        <v>95</v>
      </c>
    </row>
    <row r="25" spans="1:3" ht="15" thickBot="1" x14ac:dyDescent="0.35">
      <c r="A25" s="23" t="s">
        <v>96</v>
      </c>
      <c r="B25" s="29">
        <v>15</v>
      </c>
    </row>
  </sheetData>
  <sheetProtection algorithmName="SHA-512" hashValue="7KuccN/VSfBhmIp/qtlFuIkiqBYZYdiVY3VnORC4xc1vOGh264UGQg4ORwYDtW/Rnw+20H/mqMORJjUA8Y8K8A==" saltValue="OXdyVMkslV6v+DzGmccumQ==" spinCount="100000" sheet="1" objects="1" scenarios="1"/>
  <mergeCells count="2">
    <mergeCell ref="A2:L2"/>
    <mergeCell ref="A22:C22"/>
  </mergeCells>
  <dataValidations count="1">
    <dataValidation type="list" allowBlank="1" showInputMessage="1" showErrorMessage="1" sqref="B24" xr:uid="{2D595CB8-EE87-4ACC-80E3-22DAD702C10F}">
      <formula1>"Method 1, Method 2, Method 3, User Input"</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B70D-8020-4A71-B553-F91A0801D9A9}">
  <dimension ref="A1:B89"/>
  <sheetViews>
    <sheetView showGridLines="0" topLeftCell="A61" zoomScale="90" zoomScaleNormal="90" workbookViewId="0">
      <selection activeCell="B82" sqref="B82"/>
    </sheetView>
  </sheetViews>
  <sheetFormatPr defaultRowHeight="14.4" x14ac:dyDescent="0.3"/>
  <cols>
    <col min="1" max="1" width="93.33203125" customWidth="1"/>
    <col min="2" max="2" width="12.5546875" customWidth="1"/>
  </cols>
  <sheetData>
    <row r="1" spans="1:2" x14ac:dyDescent="0.3">
      <c r="A1" s="2" t="s">
        <v>211</v>
      </c>
    </row>
    <row r="2" spans="1:2" x14ac:dyDescent="0.3">
      <c r="A2" s="7" t="s">
        <v>97</v>
      </c>
    </row>
    <row r="3" spans="1:2" ht="13.8" customHeight="1" x14ac:dyDescent="0.3">
      <c r="A3" s="114" t="s">
        <v>212</v>
      </c>
    </row>
    <row r="4" spans="1:2" ht="12.6" customHeight="1" x14ac:dyDescent="0.3">
      <c r="A4" s="115" t="s">
        <v>213</v>
      </c>
      <c r="B4" s="116"/>
    </row>
    <row r="5" spans="1:2" x14ac:dyDescent="0.3">
      <c r="A5" s="137"/>
      <c r="B5" s="130"/>
    </row>
    <row r="8" spans="1:2" x14ac:dyDescent="0.3">
      <c r="A8" s="5" t="s">
        <v>218</v>
      </c>
      <c r="B8" s="80">
        <f ca="1">'A - Site Data and Screening'!B12+YEAR(TODAY())</f>
        <v>2051</v>
      </c>
    </row>
    <row r="12" spans="1:2" x14ac:dyDescent="0.3">
      <c r="A12" s="136" t="e" vm="1">
        <v>#VALUE!</v>
      </c>
      <c r="B12" s="136"/>
    </row>
    <row r="23" spans="1:2" x14ac:dyDescent="0.3">
      <c r="A23" s="136"/>
      <c r="B23" s="136"/>
    </row>
    <row r="33" spans="1:1" x14ac:dyDescent="0.3">
      <c r="A33" t="s">
        <v>214</v>
      </c>
    </row>
    <row r="48" spans="1:1" x14ac:dyDescent="0.3">
      <c r="A48" t="s">
        <v>215</v>
      </c>
    </row>
    <row r="49" spans="1:1" x14ac:dyDescent="0.3">
      <c r="A49" t="s">
        <v>216</v>
      </c>
    </row>
    <row r="50" spans="1:1" x14ac:dyDescent="0.3">
      <c r="A50" t="s">
        <v>217</v>
      </c>
    </row>
    <row r="51" spans="1:1" x14ac:dyDescent="0.3">
      <c r="A51" t="s">
        <v>220</v>
      </c>
    </row>
    <row r="52" spans="1:1" x14ac:dyDescent="0.3">
      <c r="A52" t="s">
        <v>219</v>
      </c>
    </row>
    <row r="53" spans="1:1" x14ac:dyDescent="0.3">
      <c r="A53" t="s">
        <v>221</v>
      </c>
    </row>
    <row r="80" spans="1:2" x14ac:dyDescent="0.3">
      <c r="A80" s="5"/>
      <c r="B80" s="80"/>
    </row>
    <row r="81" spans="1:2" ht="15" thickBot="1" x14ac:dyDescent="0.35">
      <c r="A81" s="83"/>
      <c r="B81" s="84"/>
    </row>
    <row r="82" spans="1:2" ht="15" thickBot="1" x14ac:dyDescent="0.35">
      <c r="A82" s="19"/>
      <c r="B82" s="29"/>
    </row>
    <row r="86" spans="1:2" x14ac:dyDescent="0.3">
      <c r="A86" s="95" t="s">
        <v>98</v>
      </c>
      <c r="B86" s="80">
        <f ca="1">'A - Site Data and Screening'!B12+YEAR(TODAY())</f>
        <v>2051</v>
      </c>
    </row>
    <row r="87" spans="1:2" x14ac:dyDescent="0.3">
      <c r="A87" s="64" t="s">
        <v>99</v>
      </c>
      <c r="B87" s="80">
        <f>'C - Time of Concentration'!B25</f>
        <v>15</v>
      </c>
    </row>
    <row r="88" spans="1:2" ht="16.2" thickBot="1" x14ac:dyDescent="0.4">
      <c r="A88" s="90" t="s">
        <v>100</v>
      </c>
      <c r="B88" s="84">
        <f>IF('A - Site Data and Screening'!B12&gt;3,100,10)</f>
        <v>100</v>
      </c>
    </row>
    <row r="89" spans="1:2" ht="15" thickBot="1" x14ac:dyDescent="0.35">
      <c r="A89" s="38" t="s">
        <v>101</v>
      </c>
      <c r="B89" s="94">
        <v>56.62</v>
      </c>
    </row>
  </sheetData>
  <sheetProtection algorithmName="SHA-512" hashValue="fpjrdZR+tytv0NFIO2S6YK0gdB8WM0bmyCTbgl2IG5Wb6uaibZZYTkG0lp26vBjiu6LgkbV4VHVuYkyyxj285A==" saltValue="FjZU5wcnOrF2Evo8JuhDGg==" spinCount="100000" sheet="1" objects="1" scenarios="1"/>
  <mergeCells count="3">
    <mergeCell ref="A23:B23"/>
    <mergeCell ref="A5:B5"/>
    <mergeCell ref="A12:B12"/>
  </mergeCells>
  <hyperlinks>
    <hyperlink ref="A2" r:id="rId1" location="smooth-scroll-top" display="https://www.idf-cc-uwo.ca/home - smooth-scroll-top" xr:uid="{70C78032-AA6D-4A3B-AAD9-4ED64DB1106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BD9C9-3593-4C40-9F5D-DF90519175FA}">
  <dimension ref="A1:I15"/>
  <sheetViews>
    <sheetView showGridLines="0" zoomScaleNormal="100" workbookViewId="0"/>
  </sheetViews>
  <sheetFormatPr defaultRowHeight="14.4" x14ac:dyDescent="0.3"/>
  <cols>
    <col min="1" max="1" width="42.109375" customWidth="1"/>
    <col min="2" max="2" width="7.5546875" bestFit="1" customWidth="1"/>
    <col min="3" max="3" width="5.6640625" customWidth="1"/>
    <col min="4" max="4" width="23.6640625" customWidth="1"/>
    <col min="5" max="5" width="13.33203125" customWidth="1"/>
    <col min="9" max="9" width="13.21875" customWidth="1"/>
    <col min="10" max="10" width="11.6640625" customWidth="1"/>
    <col min="11" max="11" width="8.109375" bestFit="1" customWidth="1"/>
  </cols>
  <sheetData>
    <row r="1" spans="1:9" x14ac:dyDescent="0.3">
      <c r="A1" s="3" t="s">
        <v>102</v>
      </c>
      <c r="B1" s="4"/>
      <c r="C1" s="4"/>
    </row>
    <row r="2" spans="1:9" x14ac:dyDescent="0.3">
      <c r="A2" s="1"/>
    </row>
    <row r="3" spans="1:9" x14ac:dyDescent="0.3">
      <c r="A3" s="5" t="s">
        <v>103</v>
      </c>
      <c r="B3" s="85">
        <v>0.7</v>
      </c>
      <c r="D3" s="138" t="s">
        <v>104</v>
      </c>
      <c r="E3" s="139"/>
      <c r="F3" s="140"/>
    </row>
    <row r="4" spans="1:9" x14ac:dyDescent="0.3">
      <c r="A4" s="86" t="s">
        <v>105</v>
      </c>
      <c r="B4" s="85">
        <v>0.1</v>
      </c>
      <c r="D4" s="11" t="s">
        <v>106</v>
      </c>
      <c r="E4" s="11" t="s">
        <v>107</v>
      </c>
      <c r="F4" s="11" t="s">
        <v>108</v>
      </c>
    </row>
    <row r="5" spans="1:9" x14ac:dyDescent="0.3">
      <c r="A5" s="64" t="s">
        <v>109</v>
      </c>
      <c r="B5" s="80">
        <f>'D - Rainfall Intensity'!B89</f>
        <v>56.62</v>
      </c>
      <c r="D5" s="5" t="s">
        <v>110</v>
      </c>
      <c r="E5" s="12">
        <v>1</v>
      </c>
      <c r="F5" s="12">
        <v>0.9</v>
      </c>
    </row>
    <row r="6" spans="1:9" ht="15" thickBot="1" x14ac:dyDescent="0.35">
      <c r="A6" s="83" t="s">
        <v>111</v>
      </c>
      <c r="B6" s="84">
        <f>'A - Site Data and Screening'!B14*100</f>
        <v>34</v>
      </c>
      <c r="D6" s="5" t="s">
        <v>112</v>
      </c>
      <c r="E6" s="12">
        <v>0.95</v>
      </c>
      <c r="F6" s="12">
        <v>0.8</v>
      </c>
    </row>
    <row r="7" spans="1:9" ht="15" thickBot="1" x14ac:dyDescent="0.35">
      <c r="A7" s="19" t="s">
        <v>113</v>
      </c>
      <c r="B7" s="42">
        <f>(B4+B3)*B5*B6/362</f>
        <v>4.2543204419889502</v>
      </c>
      <c r="D7" s="5" t="s">
        <v>114</v>
      </c>
      <c r="E7" s="12">
        <v>0.9</v>
      </c>
      <c r="F7" s="12">
        <v>0.65</v>
      </c>
    </row>
    <row r="8" spans="1:9" x14ac:dyDescent="0.3">
      <c r="D8" s="5" t="s">
        <v>115</v>
      </c>
      <c r="E8" s="12">
        <v>0.85</v>
      </c>
      <c r="F8" s="12">
        <v>0.5</v>
      </c>
    </row>
    <row r="9" spans="1:9" ht="15" thickBot="1" x14ac:dyDescent="0.35">
      <c r="A9" s="100" t="str">
        <f>IF(B7&lt;=6,"","CROSSING REQUIRES MAJOR CULVERT")</f>
        <v/>
      </c>
      <c r="D9" s="50" t="s">
        <v>116</v>
      </c>
      <c r="E9" s="51">
        <v>0.8</v>
      </c>
      <c r="F9" s="51">
        <v>0.4</v>
      </c>
    </row>
    <row r="10" spans="1:9" x14ac:dyDescent="0.3">
      <c r="D10" s="141" t="s">
        <v>117</v>
      </c>
      <c r="E10" s="142"/>
      <c r="F10" s="143"/>
    </row>
    <row r="11" spans="1:9" x14ac:dyDescent="0.3">
      <c r="D11" s="5" t="s">
        <v>118</v>
      </c>
      <c r="E11" s="12">
        <v>0.05</v>
      </c>
      <c r="F11" s="12">
        <v>0.02</v>
      </c>
    </row>
    <row r="12" spans="1:9" x14ac:dyDescent="0.3">
      <c r="D12" s="5" t="s">
        <v>119</v>
      </c>
      <c r="E12" s="12">
        <v>0.1</v>
      </c>
      <c r="F12" s="12">
        <v>0.05</v>
      </c>
    </row>
    <row r="13" spans="1:9" x14ac:dyDescent="0.3">
      <c r="D13" s="103" t="s">
        <v>120</v>
      </c>
      <c r="E13" s="104">
        <v>0.1</v>
      </c>
      <c r="F13" s="104">
        <v>0.1</v>
      </c>
    </row>
    <row r="14" spans="1:9" x14ac:dyDescent="0.3">
      <c r="D14" s="83" t="s">
        <v>231</v>
      </c>
      <c r="E14" s="105"/>
      <c r="F14" s="105"/>
      <c r="G14" s="105"/>
      <c r="H14" s="105"/>
      <c r="I14" s="101"/>
    </row>
    <row r="15" spans="1:9" x14ac:dyDescent="0.3">
      <c r="D15" s="106" t="s">
        <v>232</v>
      </c>
      <c r="E15" s="107"/>
      <c r="F15" s="107"/>
      <c r="G15" s="107"/>
      <c r="H15" s="107"/>
      <c r="I15" s="102"/>
    </row>
  </sheetData>
  <sheetProtection algorithmName="SHA-512" hashValue="p3yOrK8CVe1t51bBBtOhezVoB0ResHKor6KfMT1JQFqrOV72YesDXnni8f6+u1r7l0RAJZLE7TQQnvm+jdKpwQ==" saltValue="pyiyFNJg36HM7D+9+JPlmQ==" spinCount="100000" sheet="1" objects="1" scenarios="1"/>
  <mergeCells count="2">
    <mergeCell ref="D3:F3"/>
    <mergeCell ref="D10:F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75940-5AD7-4351-BE47-03138F9E69CE}">
  <dimension ref="A1:C7"/>
  <sheetViews>
    <sheetView showGridLines="0" zoomScale="160" zoomScaleNormal="160" workbookViewId="0">
      <selection activeCell="B2" sqref="B2"/>
    </sheetView>
  </sheetViews>
  <sheetFormatPr defaultRowHeight="14.4" x14ac:dyDescent="0.3"/>
  <cols>
    <col min="1" max="1" width="21" bestFit="1" customWidth="1"/>
    <col min="2" max="2" width="9.33203125" customWidth="1"/>
    <col min="3" max="3" width="71.6640625" customWidth="1"/>
  </cols>
  <sheetData>
    <row r="1" spans="1:3" x14ac:dyDescent="0.3">
      <c r="A1" s="3" t="s">
        <v>121</v>
      </c>
    </row>
    <row r="2" spans="1:3" ht="15" x14ac:dyDescent="0.3">
      <c r="A2" s="87" t="s">
        <v>122</v>
      </c>
      <c r="B2" s="88">
        <v>1800</v>
      </c>
      <c r="C2" s="13" t="s">
        <v>123</v>
      </c>
    </row>
    <row r="3" spans="1:3" ht="15" x14ac:dyDescent="0.3">
      <c r="A3" s="87" t="s">
        <v>124</v>
      </c>
      <c r="B3" s="89">
        <v>1.5</v>
      </c>
      <c r="C3" s="13" t="s">
        <v>125</v>
      </c>
    </row>
    <row r="4" spans="1:3" ht="15" x14ac:dyDescent="0.3">
      <c r="A4" s="87" t="s">
        <v>126</v>
      </c>
      <c r="B4" s="89">
        <v>10</v>
      </c>
      <c r="C4" s="13" t="s">
        <v>127</v>
      </c>
    </row>
    <row r="5" spans="1:3" ht="15" x14ac:dyDescent="0.3">
      <c r="A5" s="87" t="s">
        <v>128</v>
      </c>
      <c r="B5" s="88">
        <v>0</v>
      </c>
      <c r="C5" s="13" t="s">
        <v>129</v>
      </c>
    </row>
    <row r="6" spans="1:3" ht="15" thickBot="1" x14ac:dyDescent="0.35"/>
    <row r="7" spans="1:3" ht="15" thickBot="1" x14ac:dyDescent="0.35">
      <c r="A7" s="19" t="s">
        <v>130</v>
      </c>
      <c r="B7" s="30">
        <f xml:space="preserve"> (B4 + 1.5 * (B3 + (B2/1000))) / COS(RADIANS(B5))</f>
        <v>14.95</v>
      </c>
    </row>
  </sheetData>
  <sheetProtection algorithmName="SHA-512" hashValue="NlUOnMpdrAem8q5QcekYWjVfgxqOB2rBkp8OhVtdjFI5Q0TY9ZvG5PBinbBlny6HeknqDneVn/DACxoGtffvFQ==" saltValue="STJBewVTC1H1rXsHoRRHm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9EB7E-A6E4-4419-92A7-1DE34C6EA6E4}">
  <dimension ref="A1:M79"/>
  <sheetViews>
    <sheetView showGridLines="0" zoomScaleNormal="100" workbookViewId="0">
      <selection activeCell="A2" sqref="A2:J2"/>
    </sheetView>
  </sheetViews>
  <sheetFormatPr defaultRowHeight="14.4" x14ac:dyDescent="0.3"/>
  <cols>
    <col min="1" max="1" width="30.33203125" customWidth="1"/>
    <col min="2" max="2" width="13.88671875" customWidth="1"/>
    <col min="4" max="4" width="11.33203125" customWidth="1"/>
    <col min="9" max="9" width="31.6640625" customWidth="1"/>
    <col min="12" max="12" width="31.33203125" customWidth="1"/>
  </cols>
  <sheetData>
    <row r="1" spans="1:10" x14ac:dyDescent="0.3">
      <c r="A1" s="3" t="s">
        <v>131</v>
      </c>
    </row>
    <row r="2" spans="1:10" ht="205.95" customHeight="1" x14ac:dyDescent="0.3">
      <c r="A2" s="144" t="s">
        <v>132</v>
      </c>
      <c r="B2" s="144"/>
      <c r="C2" s="144"/>
      <c r="D2" s="144"/>
      <c r="E2" s="144"/>
      <c r="F2" s="144"/>
      <c r="G2" s="144"/>
      <c r="H2" s="144"/>
      <c r="I2" s="144"/>
      <c r="J2" s="144"/>
    </row>
    <row r="3" spans="1:10" x14ac:dyDescent="0.3">
      <c r="I3" s="5" t="s">
        <v>133</v>
      </c>
      <c r="J3" s="76">
        <f>'E - Rational Equation'!B7</f>
        <v>4.2543204419889502</v>
      </c>
    </row>
    <row r="4" spans="1:10" x14ac:dyDescent="0.3">
      <c r="I4" s="11" t="s">
        <v>134</v>
      </c>
      <c r="J4" s="11"/>
    </row>
    <row r="5" spans="1:10" x14ac:dyDescent="0.3">
      <c r="I5" s="64" t="s">
        <v>135</v>
      </c>
      <c r="J5" s="78">
        <v>1800</v>
      </c>
    </row>
    <row r="6" spans="1:10" x14ac:dyDescent="0.3">
      <c r="I6" s="64" t="s">
        <v>136</v>
      </c>
      <c r="J6" s="85">
        <v>0.87</v>
      </c>
    </row>
    <row r="46" spans="1:13" ht="131.4" customHeight="1" x14ac:dyDescent="0.3">
      <c r="A46" s="130" t="s">
        <v>137</v>
      </c>
      <c r="B46" s="130"/>
      <c r="C46" s="130"/>
      <c r="D46" s="130"/>
      <c r="E46" s="130"/>
      <c r="F46" s="130"/>
      <c r="G46" s="130"/>
      <c r="H46" s="130"/>
      <c r="I46" s="130"/>
      <c r="J46" s="130"/>
    </row>
    <row r="47" spans="1:13" x14ac:dyDescent="0.3">
      <c r="L47" s="64" t="s">
        <v>133</v>
      </c>
      <c r="M47" s="76">
        <f>'E - Rational Equation'!B7</f>
        <v>4.2543204419889502</v>
      </c>
    </row>
    <row r="48" spans="1:13" x14ac:dyDescent="0.3">
      <c r="L48" s="64" t="s">
        <v>135</v>
      </c>
      <c r="M48" s="117">
        <v>1800</v>
      </c>
    </row>
    <row r="49" spans="12:13" x14ac:dyDescent="0.3">
      <c r="L49" s="64" t="s">
        <v>138</v>
      </c>
      <c r="M49" s="117">
        <v>0.6</v>
      </c>
    </row>
    <row r="50" spans="12:13" x14ac:dyDescent="0.3">
      <c r="L50" s="64" t="s">
        <v>139</v>
      </c>
      <c r="M50" s="118">
        <f>'F - Pipe Length'!B7</f>
        <v>14.95</v>
      </c>
    </row>
    <row r="51" spans="12:13" x14ac:dyDescent="0.3">
      <c r="L51" s="64" t="s">
        <v>140</v>
      </c>
      <c r="M51" s="119">
        <v>0.02</v>
      </c>
    </row>
    <row r="52" spans="12:13" x14ac:dyDescent="0.3">
      <c r="L52" s="64" t="s">
        <v>141</v>
      </c>
      <c r="M52" s="117">
        <v>0.3</v>
      </c>
    </row>
    <row r="53" spans="12:13" x14ac:dyDescent="0.3">
      <c r="L53" s="5" t="s">
        <v>142</v>
      </c>
      <c r="M53" s="80">
        <f>(($M$49)+($M$48/1000))/2</f>
        <v>1.2</v>
      </c>
    </row>
    <row r="54" spans="12:13" x14ac:dyDescent="0.3">
      <c r="L54" s="5" t="s">
        <v>143</v>
      </c>
      <c r="M54" s="80">
        <f>$M$53+$M$52-((M50)*M51)</f>
        <v>1.2010000000000001</v>
      </c>
    </row>
    <row r="55" spans="12:13" x14ac:dyDescent="0.3">
      <c r="L55" s="64" t="s">
        <v>136</v>
      </c>
      <c r="M55" s="76">
        <f>M54/(M48/1000)</f>
        <v>0.66722222222222227</v>
      </c>
    </row>
    <row r="77" spans="1:10" ht="39" customHeight="1" x14ac:dyDescent="0.3">
      <c r="A77" s="130" t="s">
        <v>144</v>
      </c>
      <c r="B77" s="130"/>
      <c r="C77" s="130"/>
      <c r="D77" s="130"/>
      <c r="E77" s="130"/>
      <c r="F77" s="130"/>
      <c r="G77" s="130"/>
      <c r="H77" s="130"/>
      <c r="I77" s="130"/>
      <c r="J77" s="130"/>
    </row>
    <row r="78" spans="1:10" ht="15" thickBot="1" x14ac:dyDescent="0.35">
      <c r="A78" s="90" t="s">
        <v>145</v>
      </c>
      <c r="B78" s="84" t="str">
        <f>IF(($M$55&lt;$J$6),"INLET CONTROL","OUTLET CONTROL")</f>
        <v>INLET CONTROL</v>
      </c>
    </row>
    <row r="79" spans="1:10" ht="29.4" thickBot="1" x14ac:dyDescent="0.35">
      <c r="A79" s="38" t="s">
        <v>146</v>
      </c>
      <c r="B79" s="24" cm="1">
        <f t="array" ref="B79">IF(AND(M55&lt;1,J6&lt;1),J5,try larger culvert size)</f>
        <v>1800</v>
      </c>
    </row>
  </sheetData>
  <sheetProtection algorithmName="SHA-512" hashValue="Z5zrpAlaf4ssE1I+CAwV63AcETJJPTPyK63hyZt3ysSI0RcI87fNGhpstZaCyUsoVEHaqNKfHBv09cgFE4IL6g==" saltValue="I+xJ+5BWYQYF2YzhvsW69Q==" spinCount="100000" sheet="1" objects="1" scenarios="1"/>
  <mergeCells count="3">
    <mergeCell ref="A2:J2"/>
    <mergeCell ref="A46:J46"/>
    <mergeCell ref="A77:J77"/>
  </mergeCells>
  <phoneticPr fontId="10"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D2D9-5554-4B2C-A4A9-F4ABE289DB59}">
  <sheetPr>
    <pageSetUpPr fitToPage="1"/>
  </sheetPr>
  <dimension ref="A1:G46"/>
  <sheetViews>
    <sheetView showGridLines="0" zoomScale="85" zoomScaleNormal="85" workbookViewId="0">
      <selection activeCell="A3" sqref="A3:E3"/>
    </sheetView>
  </sheetViews>
  <sheetFormatPr defaultRowHeight="14.4" x14ac:dyDescent="0.3"/>
  <cols>
    <col min="1" max="1" width="29" style="6" customWidth="1"/>
    <col min="2" max="2" width="21.6640625" style="6" customWidth="1"/>
    <col min="3" max="3" width="4.109375" style="6" customWidth="1"/>
    <col min="4" max="4" width="35.6640625" style="6" customWidth="1"/>
    <col min="5" max="5" width="22.6640625" style="6" customWidth="1"/>
    <col min="6" max="7" width="18.33203125" style="6" customWidth="1"/>
  </cols>
  <sheetData>
    <row r="1" spans="1:6" x14ac:dyDescent="0.3">
      <c r="A1" s="123" t="s">
        <v>162</v>
      </c>
      <c r="B1" s="123"/>
      <c r="C1" s="123"/>
      <c r="D1" s="123"/>
      <c r="E1" s="123"/>
    </row>
    <row r="2" spans="1:6" x14ac:dyDescent="0.3">
      <c r="A2" s="123" t="s">
        <v>163</v>
      </c>
      <c r="B2" s="123"/>
      <c r="C2" s="123"/>
      <c r="D2" s="123"/>
      <c r="E2" s="123"/>
    </row>
    <row r="3" spans="1:6" x14ac:dyDescent="0.3">
      <c r="A3" s="128" t="str">
        <f>'Instructions_READ FIRST'!A2</f>
        <v>Version 1.0</v>
      </c>
      <c r="B3" s="128"/>
      <c r="C3" s="128"/>
      <c r="D3" s="128"/>
      <c r="E3" s="128"/>
    </row>
    <row r="5" spans="1:6" x14ac:dyDescent="0.3">
      <c r="A5" s="6" t="s">
        <v>24</v>
      </c>
      <c r="B5" s="26" t="str">
        <f>'A - Site Data and Screening'!B1</f>
        <v>NICC</v>
      </c>
      <c r="D5" s="6" t="s">
        <v>41</v>
      </c>
      <c r="E5" s="26">
        <f>'A - Site Data and Screening'!$B$12</f>
        <v>25</v>
      </c>
      <c r="F5" s="31"/>
    </row>
    <row r="6" spans="1:6" x14ac:dyDescent="0.3">
      <c r="A6" s="6" t="s">
        <v>26</v>
      </c>
      <c r="B6" s="26" t="str">
        <f>'A - Site Data and Screening'!B2</f>
        <v>S. Ward P.Eng. RPF</v>
      </c>
      <c r="D6" s="6" t="s">
        <v>29</v>
      </c>
      <c r="E6" s="26" t="str">
        <f>'A - Site Data and Screening'!B4</f>
        <v>J. Harvey P.Eng.</v>
      </c>
    </row>
    <row r="7" spans="1:6" x14ac:dyDescent="0.3">
      <c r="A7" s="6" t="s">
        <v>28</v>
      </c>
      <c r="B7" s="31">
        <f>'A - Site Data and Screening'!B3</f>
        <v>46055</v>
      </c>
      <c r="D7" s="6" t="s">
        <v>31</v>
      </c>
      <c r="E7" s="31">
        <f>'A - Site Data and Screening'!B5</f>
        <v>46083</v>
      </c>
    </row>
    <row r="8" spans="1:6" x14ac:dyDescent="0.3">
      <c r="A8" s="122" t="s">
        <v>202</v>
      </c>
      <c r="B8" s="122"/>
      <c r="C8" s="122"/>
      <c r="D8" s="122"/>
      <c r="E8" s="122"/>
    </row>
    <row r="9" spans="1:6" x14ac:dyDescent="0.3">
      <c r="A9" s="6" t="s">
        <v>35</v>
      </c>
      <c r="B9" s="26" t="str">
        <f>'A - Site Data and Screening'!$B$9</f>
        <v>No Name FSR 1.456km</v>
      </c>
      <c r="C9" s="27"/>
      <c r="D9" s="6" t="s">
        <v>164</v>
      </c>
      <c r="E9" s="26">
        <f>'A - Site Data and Screening'!$B$14</f>
        <v>0.34</v>
      </c>
    </row>
    <row r="10" spans="1:6" x14ac:dyDescent="0.3">
      <c r="A10" s="6" t="s">
        <v>37</v>
      </c>
      <c r="B10" s="26" t="str">
        <f>'A - Site Data and Screening'!$B$10</f>
        <v>50°37'51.89"N</v>
      </c>
      <c r="D10" s="6" t="s">
        <v>44</v>
      </c>
      <c r="E10" s="26">
        <f>'A - Site Data and Screening'!$B$15</f>
        <v>450</v>
      </c>
    </row>
    <row r="11" spans="1:6" x14ac:dyDescent="0.3">
      <c r="A11" s="6" t="s">
        <v>39</v>
      </c>
      <c r="B11" s="26" t="str">
        <f>'A - Site Data and Screening'!$B$11</f>
        <v>128°12'11.3"W</v>
      </c>
      <c r="D11" s="6" t="s">
        <v>48</v>
      </c>
      <c r="E11" s="32">
        <f>'A - Site Data and Screening'!$B$18</f>
        <v>33</v>
      </c>
    </row>
    <row r="12" spans="1:6" x14ac:dyDescent="0.3">
      <c r="A12" s="111" t="s">
        <v>206</v>
      </c>
      <c r="B12" s="26"/>
      <c r="D12" s="6" t="s">
        <v>165</v>
      </c>
      <c r="E12" s="32">
        <f>'A - Site Data and Screening'!$B$19</f>
        <v>25</v>
      </c>
    </row>
    <row r="13" spans="1:6" x14ac:dyDescent="0.3">
      <c r="A13" s="6" t="s">
        <v>149</v>
      </c>
      <c r="B13" s="35">
        <f>'A - Site Data and Screening'!K6</f>
        <v>2.572478777137633E-2</v>
      </c>
      <c r="E13" s="32"/>
    </row>
    <row r="14" spans="1:6" x14ac:dyDescent="0.3">
      <c r="A14" s="6" t="s">
        <v>51</v>
      </c>
      <c r="B14" s="26" t="str">
        <f>'A - Site Data and Screening'!$B$21</f>
        <v>Alluvial Fan</v>
      </c>
      <c r="E14" s="32"/>
    </row>
    <row r="15" spans="1:6" x14ac:dyDescent="0.3">
      <c r="A15" s="46" t="s">
        <v>150</v>
      </c>
      <c r="B15" s="47" t="str">
        <f>'A - Site Data and Screening'!K8</f>
        <v>Clear Flow flood</v>
      </c>
    </row>
    <row r="16" spans="1:6" x14ac:dyDescent="0.3">
      <c r="A16" s="129" t="s">
        <v>166</v>
      </c>
      <c r="B16" s="129"/>
      <c r="C16" s="129"/>
      <c r="D16" s="129"/>
      <c r="E16" s="129"/>
    </row>
    <row r="17" spans="1:5" ht="15.6" x14ac:dyDescent="0.35">
      <c r="A17" s="6" t="s">
        <v>67</v>
      </c>
      <c r="B17" s="33">
        <f>'B - 3X Bankfull'!B8</f>
        <v>3.4666666666666668</v>
      </c>
      <c r="D17" s="6" t="s">
        <v>167</v>
      </c>
      <c r="E17" s="33">
        <f>'B - 3X Bankfull'!B12</f>
        <v>2.415</v>
      </c>
    </row>
    <row r="18" spans="1:5" ht="15.6" x14ac:dyDescent="0.35">
      <c r="A18" s="6" t="s">
        <v>68</v>
      </c>
      <c r="B18" s="33">
        <f>'B - 3X Bankfull'!B9</f>
        <v>1.9000000000000001</v>
      </c>
      <c r="D18" s="44" t="s">
        <v>168</v>
      </c>
      <c r="E18" s="45">
        <f>'B - 3X Bankfull'!B14</f>
        <v>1800</v>
      </c>
    </row>
    <row r="19" spans="1:5" x14ac:dyDescent="0.3">
      <c r="A19" s="6" t="s">
        <v>69</v>
      </c>
      <c r="B19" s="33">
        <f>'B - 3X Bankfull'!B10</f>
        <v>0.3</v>
      </c>
      <c r="E19" s="25"/>
    </row>
    <row r="20" spans="1:5" x14ac:dyDescent="0.3">
      <c r="A20" s="122" t="s">
        <v>12</v>
      </c>
      <c r="B20" s="122"/>
      <c r="D20" s="122" t="s">
        <v>14</v>
      </c>
      <c r="E20" s="122"/>
    </row>
    <row r="21" spans="1:5" x14ac:dyDescent="0.3">
      <c r="A21" s="6" t="s">
        <v>169</v>
      </c>
      <c r="B21" s="26" t="str">
        <f>'C - Time of Concentration'!B24</f>
        <v>Method 1</v>
      </c>
      <c r="D21" s="6" t="s">
        <v>170</v>
      </c>
      <c r="E21" s="26">
        <f>'D - Rainfall Intensity'!B88</f>
        <v>100</v>
      </c>
    </row>
    <row r="22" spans="1:5" x14ac:dyDescent="0.3">
      <c r="A22" s="6" t="s">
        <v>171</v>
      </c>
      <c r="B22" s="26">
        <f>'C - Time of Concentration'!B25</f>
        <v>15</v>
      </c>
      <c r="D22" s="44" t="s">
        <v>101</v>
      </c>
      <c r="E22" s="45">
        <f>'D - Rainfall Intensity'!B89</f>
        <v>56.62</v>
      </c>
    </row>
    <row r="23" spans="1:5" x14ac:dyDescent="0.3">
      <c r="A23" s="122" t="s">
        <v>172</v>
      </c>
      <c r="B23" s="122"/>
      <c r="D23" s="122"/>
      <c r="E23" s="122"/>
    </row>
    <row r="24" spans="1:5" x14ac:dyDescent="0.3">
      <c r="A24" s="34" t="s">
        <v>173</v>
      </c>
      <c r="B24" s="93">
        <f>'E - Rational Equation'!B4+'E - Rational Equation'!B3</f>
        <v>0.79999999999999993</v>
      </c>
    </row>
    <row r="25" spans="1:5" ht="16.2" x14ac:dyDescent="0.3">
      <c r="A25" s="44" t="s">
        <v>174</v>
      </c>
      <c r="B25" s="48">
        <f>'E - Rational Equation'!B7</f>
        <v>4.2543204419889502</v>
      </c>
    </row>
    <row r="26" spans="1:5" x14ac:dyDescent="0.3">
      <c r="B26" s="25"/>
    </row>
    <row r="27" spans="1:5" x14ac:dyDescent="0.3">
      <c r="A27" s="122" t="s">
        <v>175</v>
      </c>
      <c r="B27" s="122"/>
      <c r="C27" s="122"/>
      <c r="D27" s="122"/>
      <c r="E27" s="122"/>
    </row>
    <row r="28" spans="1:5" ht="15" x14ac:dyDescent="0.3">
      <c r="A28" s="13" t="s">
        <v>122</v>
      </c>
      <c r="B28" s="36">
        <f>'F - Pipe Length'!B2</f>
        <v>1800</v>
      </c>
      <c r="D28" s="13" t="s">
        <v>128</v>
      </c>
      <c r="E28" s="36">
        <f>'F - Pipe Length'!B5</f>
        <v>0</v>
      </c>
    </row>
    <row r="29" spans="1:5" ht="15" x14ac:dyDescent="0.3">
      <c r="A29" s="13" t="s">
        <v>124</v>
      </c>
      <c r="B29" s="37">
        <f>'F - Pipe Length'!B3</f>
        <v>1.5</v>
      </c>
      <c r="D29" s="44" t="s">
        <v>130</v>
      </c>
      <c r="E29" s="49">
        <f>'F - Pipe Length'!B7</f>
        <v>14.95</v>
      </c>
    </row>
    <row r="30" spans="1:5" ht="15" x14ac:dyDescent="0.3">
      <c r="A30" s="13" t="s">
        <v>126</v>
      </c>
      <c r="B30" s="37">
        <f>'F - Pipe Length'!B4</f>
        <v>10</v>
      </c>
      <c r="E30" s="25"/>
    </row>
    <row r="31" spans="1:5" x14ac:dyDescent="0.3">
      <c r="A31" s="122" t="s">
        <v>176</v>
      </c>
      <c r="B31" s="122"/>
      <c r="C31" s="122"/>
      <c r="D31" s="122"/>
      <c r="E31" s="122"/>
    </row>
    <row r="32" spans="1:5" x14ac:dyDescent="0.3">
      <c r="A32" s="6" t="s">
        <v>177</v>
      </c>
      <c r="B32" s="26">
        <f>'G - Inlet Outlet Control'!J5</f>
        <v>1800</v>
      </c>
      <c r="E32" s="25"/>
    </row>
    <row r="33" spans="1:7" x14ac:dyDescent="0.3">
      <c r="A33" s="44" t="s">
        <v>178</v>
      </c>
      <c r="B33" s="45">
        <f>'G - Inlet Outlet Control'!J6</f>
        <v>0.87</v>
      </c>
      <c r="E33" s="25"/>
    </row>
    <row r="34" spans="1:7" x14ac:dyDescent="0.3">
      <c r="A34" s="122" t="s">
        <v>179</v>
      </c>
      <c r="B34" s="122"/>
      <c r="C34" s="122"/>
      <c r="D34" s="122"/>
      <c r="E34" s="122"/>
    </row>
    <row r="35" spans="1:7" x14ac:dyDescent="0.3">
      <c r="A35" s="6" t="s">
        <v>180</v>
      </c>
      <c r="B35" s="26">
        <f>'G - Inlet Outlet Control'!M49</f>
        <v>0.6</v>
      </c>
      <c r="D35" s="6" t="s">
        <v>181</v>
      </c>
      <c r="E35" s="26">
        <f>'G - Inlet Outlet Control'!M50</f>
        <v>14.95</v>
      </c>
    </row>
    <row r="36" spans="1:7" x14ac:dyDescent="0.3">
      <c r="A36" s="6" t="s">
        <v>177</v>
      </c>
      <c r="B36" s="26">
        <f>'G - Inlet Outlet Control'!M48</f>
        <v>1800</v>
      </c>
      <c r="D36" s="6" t="s">
        <v>182</v>
      </c>
      <c r="E36" s="26">
        <f>'G - Inlet Outlet Control'!M51</f>
        <v>0.02</v>
      </c>
    </row>
    <row r="37" spans="1:7" x14ac:dyDescent="0.3">
      <c r="A37" s="6" t="s">
        <v>183</v>
      </c>
      <c r="B37" s="26">
        <f>'G - Inlet Outlet Control'!M52</f>
        <v>0.3</v>
      </c>
      <c r="D37" s="6" t="s">
        <v>184</v>
      </c>
      <c r="E37" s="26">
        <f>'G - Inlet Outlet Control'!M54</f>
        <v>1.2010000000000001</v>
      </c>
    </row>
    <row r="38" spans="1:7" x14ac:dyDescent="0.3">
      <c r="A38" s="6" t="s">
        <v>185</v>
      </c>
      <c r="B38" s="26">
        <f>'G - Inlet Outlet Control'!M53</f>
        <v>1.2</v>
      </c>
      <c r="D38" s="44" t="s">
        <v>178</v>
      </c>
      <c r="E38" s="48">
        <f>'G - Inlet Outlet Control'!M55</f>
        <v>0.66722222222222227</v>
      </c>
    </row>
    <row r="39" spans="1:7" x14ac:dyDescent="0.3">
      <c r="A39" s="122" t="s">
        <v>186</v>
      </c>
      <c r="B39" s="122"/>
      <c r="C39" s="122"/>
      <c r="D39" s="122"/>
      <c r="E39" s="122"/>
    </row>
    <row r="40" spans="1:7" ht="15" thickBot="1" x14ac:dyDescent="0.35">
      <c r="A40" s="44" t="s">
        <v>187</v>
      </c>
      <c r="B40" s="45" t="str">
        <f>'G - Inlet Outlet Control'!B78</f>
        <v>INLET CONTROL</v>
      </c>
      <c r="E40" s="25"/>
    </row>
    <row r="41" spans="1:7" ht="15" thickBot="1" x14ac:dyDescent="0.35">
      <c r="A41" s="38" t="s">
        <v>188</v>
      </c>
      <c r="B41" s="40">
        <v>1800</v>
      </c>
      <c r="C41" s="39"/>
      <c r="D41" s="39" t="s">
        <v>189</v>
      </c>
      <c r="E41" s="41">
        <v>15</v>
      </c>
      <c r="F41" s="2"/>
      <c r="G41" s="2"/>
    </row>
    <row r="42" spans="1:7" ht="72" customHeight="1" x14ac:dyDescent="0.3">
      <c r="A42" s="127" t="s">
        <v>190</v>
      </c>
      <c r="B42" s="127"/>
      <c r="C42" s="127"/>
      <c r="D42" s="127"/>
      <c r="E42" s="127"/>
    </row>
    <row r="43" spans="1:7" x14ac:dyDescent="0.3">
      <c r="A43" s="122" t="s">
        <v>191</v>
      </c>
      <c r="B43" s="122"/>
      <c r="C43" s="122"/>
      <c r="D43" s="122"/>
      <c r="E43" s="122"/>
    </row>
    <row r="44" spans="1:7" ht="86.4" customHeight="1" x14ac:dyDescent="0.3">
      <c r="A44" s="124"/>
      <c r="B44" s="125"/>
      <c r="C44" s="125"/>
      <c r="D44" s="125"/>
      <c r="E44" s="126"/>
      <c r="F44"/>
      <c r="G44"/>
    </row>
    <row r="46" spans="1:7" x14ac:dyDescent="0.3">
      <c r="A46"/>
      <c r="B46"/>
      <c r="C46"/>
      <c r="D46"/>
      <c r="E46"/>
    </row>
  </sheetData>
  <sheetProtection algorithmName="SHA-512" hashValue="A6S0PXNrYH2dKpIN88gE9CdsDBBFnPkU4S7xsJqpvjTkVeR5kGSu4lIUvOr0YTfrM5B3gxC3YLwv5VLiD2X+/g==" saltValue="LKeuOMlF5kqtV2yXWGsPLQ==" spinCount="100000" sheet="1" objects="1" scenarios="1"/>
  <mergeCells count="16">
    <mergeCell ref="A1:E1"/>
    <mergeCell ref="A3:E3"/>
    <mergeCell ref="A8:E8"/>
    <mergeCell ref="A16:E16"/>
    <mergeCell ref="A39:E39"/>
    <mergeCell ref="D20:E20"/>
    <mergeCell ref="A20:B20"/>
    <mergeCell ref="A27:E27"/>
    <mergeCell ref="A43:E43"/>
    <mergeCell ref="A2:E2"/>
    <mergeCell ref="A44:E44"/>
    <mergeCell ref="A34:E34"/>
    <mergeCell ref="A31:E31"/>
    <mergeCell ref="A23:B23"/>
    <mergeCell ref="D23:E23"/>
    <mergeCell ref="A42:E42"/>
  </mergeCells>
  <printOptions horizontalCentered="1"/>
  <pageMargins left="0.25" right="0.25" top="0.75" bottom="0.75" header="0.3" footer="0.3"/>
  <pageSetup scale="8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6cac58a-6c3f-44e6-855a-28372925f1ad">
      <UserInfo>
        <DisplayName/>
        <AccountId xsi:nil="true"/>
        <AccountType/>
      </UserInfo>
    </SharedWithUsers>
    <lcf76f155ced4ddcb4097134ff3c332f xmlns="afc8d3de-b548-45fc-9828-9283d7184791">
      <Terms xmlns="http://schemas.microsoft.com/office/infopath/2007/PartnerControls"/>
    </lcf76f155ced4ddcb4097134ff3c332f>
    <TaxCatchAll xmlns="d6cac58a-6c3f-44e6-855a-28372925f1a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AFB1B57AF42EB4B88853F6687542F26" ma:contentTypeVersion="16" ma:contentTypeDescription="Create a new document." ma:contentTypeScope="" ma:versionID="dbfeb9da78d540aded0c9e80bb4d5687">
  <xsd:schema xmlns:xsd="http://www.w3.org/2001/XMLSchema" xmlns:xs="http://www.w3.org/2001/XMLSchema" xmlns:p="http://schemas.microsoft.com/office/2006/metadata/properties" xmlns:ns2="afc8d3de-b548-45fc-9828-9283d7184791" xmlns:ns3="d6cac58a-6c3f-44e6-855a-28372925f1ad" targetNamespace="http://schemas.microsoft.com/office/2006/metadata/properties" ma:root="true" ma:fieldsID="ff6736352e2ccfe9e4861e0f640847e6" ns2:_="" ns3:_="">
    <xsd:import namespace="afc8d3de-b548-45fc-9828-9283d7184791"/>
    <xsd:import namespace="d6cac58a-6c3f-44e6-855a-28372925f1a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c8d3de-b548-45fc-9828-9283d71847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9b50559-7390-452f-8d4d-780c6c1e431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6cac58a-6c3f-44e6-855a-28372925f1a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c16a4e9-72d9-434c-b81d-59ea1573751f}" ma:internalName="TaxCatchAll" ma:showField="CatchAllData" ma:web="d6cac58a-6c3f-44e6-855a-28372925f1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221CD7-A913-497C-93BB-FF1E1E3CD290}">
  <ds:schemaRefs>
    <ds:schemaRef ds:uri="http://purl.org/dc/dcmitype/"/>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afc8d3de-b548-45fc-9828-9283d7184791"/>
    <ds:schemaRef ds:uri="http://purl.org/dc/terms/"/>
    <ds:schemaRef ds:uri="http://schemas.microsoft.com/office/infopath/2007/PartnerControls"/>
    <ds:schemaRef ds:uri="d6cac58a-6c3f-44e6-855a-28372925f1ad"/>
    <ds:schemaRef ds:uri="http://www.w3.org/XML/1998/namespace"/>
  </ds:schemaRefs>
</ds:datastoreItem>
</file>

<file path=customXml/itemProps2.xml><?xml version="1.0" encoding="utf-8"?>
<ds:datastoreItem xmlns:ds="http://schemas.openxmlformats.org/officeDocument/2006/customXml" ds:itemID="{5833DF1A-7E62-4159-8301-E236E62F92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c8d3de-b548-45fc-9828-9283d7184791"/>
    <ds:schemaRef ds:uri="d6cac58a-6c3f-44e6-855a-28372925f1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3F3FBE-C140-4A93-9671-40C7CB8A28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Instructions_READ FIRST</vt:lpstr>
      <vt:lpstr>A - Site Data and Screening</vt:lpstr>
      <vt:lpstr>B - 3X Bankfull</vt:lpstr>
      <vt:lpstr>C - Time of Concentration</vt:lpstr>
      <vt:lpstr>D - Rainfall Intensity</vt:lpstr>
      <vt:lpstr>E - Rational Equation</vt:lpstr>
      <vt:lpstr>F - Pipe Length</vt:lpstr>
      <vt:lpstr>G - Inlet Outlet Control</vt:lpstr>
      <vt:lpstr>H - Summary </vt:lpstr>
      <vt:lpstr>'E - Rational Equation'!_Toc218598633</vt:lpstr>
      <vt:lpstr>'H - Summary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Ward, Sasha V FOR:EX</dc:creator>
  <cp:keywords/>
  <dc:description/>
  <cp:lastModifiedBy>Harvey, Jonathon FOR:EX</cp:lastModifiedBy>
  <cp:revision/>
  <dcterms:created xsi:type="dcterms:W3CDTF">2026-01-09T21:08:52Z</dcterms:created>
  <dcterms:modified xsi:type="dcterms:W3CDTF">2026-04-08T18:53:38Z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0x010100FAFB1B57AF42EB4B88853F6687542F26</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