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B:\!Workgrp\STP Accountant\Coast\2026(7) CAM\"/>
    </mc:Choice>
  </mc:AlternateContent>
  <xr:revisionPtr revIDLastSave="0" documentId="13_ncr:1_{54ACA7A6-62FD-4D33-B890-84F82F368861}" xr6:coauthVersionLast="47" xr6:coauthVersionMax="47" xr10:uidLastSave="{00000000-0000-0000-0000-000000000000}"/>
  <bookViews>
    <workbookView xWindow="-108" yWindow="-108" windowWidth="23256" windowHeight="12456" tabRatio="713" xr2:uid="{C299F2F6-B416-4680-9CBC-6146691D1F06}"/>
  </bookViews>
  <sheets>
    <sheet name="Cover " sheetId="16" r:id="rId1"/>
    <sheet name="TDLC" sheetId="1" r:id="rId2"/>
    <sheet name="S1-FMA" sheetId="13" r:id="rId3"/>
    <sheet name="S2-ROAD" sheetId="11" r:id="rId4"/>
    <sheet name="S3-BRDG" sheetId="12" r:id="rId5"/>
    <sheet name="S4-CLVRT" sheetId="6" r:id="rId6"/>
    <sheet name="S5-RD MGT" sheetId="3" r:id="rId7"/>
    <sheet name="S6-SILV" sheetId="4" r:id="rId8"/>
    <sheet name="S7-RDC" sheetId="15" r:id="rId9"/>
    <sheet name="S8-CLT BRN" sheetId="18" r:id="rId10"/>
    <sheet name="S9-HARVEST" sheetId="2" r:id="rId11"/>
    <sheet name="S10-BRG TW" sheetId="10" r:id="rId12"/>
    <sheet name="S11-INLND WTR" sheetId="7" r:id="rId13"/>
    <sheet name="S12-CRN MOD" sheetId="9" r:id="rId14"/>
    <sheet name="S13-LOW BD" sheetId="5" r:id="rId15"/>
    <sheet name="LKUP" sheetId="8" r:id="rId16"/>
  </sheets>
  <definedNames>
    <definedName name="_xlnm._FilterDatabase" localSheetId="14" hidden="1">'S13-LOW BD'!#REF!</definedName>
    <definedName name="_xlnm._FilterDatabase" localSheetId="10" hidden="1">'S9-HARVEST'!#REF!</definedName>
    <definedName name="BridgeCategory" localSheetId="0">#REF!</definedName>
    <definedName name="BridgeCategory">#REF!</definedName>
    <definedName name="BridgeMaterial" localSheetId="0">#REF!</definedName>
    <definedName name="BridgeMaterial">#REF!</definedName>
    <definedName name="BridgeMaterial_Deck" localSheetId="0">#REF!</definedName>
    <definedName name="BridgeMaterial_Deck">#REF!</definedName>
    <definedName name="BridgeType" localSheetId="0">#REF!</definedName>
    <definedName name="BridgeType">#REF!</definedName>
    <definedName name="District" localSheetId="0">#REF!</definedName>
    <definedName name="District">#REF!</definedName>
    <definedName name="EBM" localSheetId="0">#REF!</definedName>
    <definedName name="EBM">#REF!</definedName>
    <definedName name="EBM?" localSheetId="0">#REF!</definedName>
    <definedName name="EBM?">#REF!</definedName>
    <definedName name="Helicopter_Logging" localSheetId="1">TDLC!$A$27</definedName>
    <definedName name="Helicopter_Yarding" localSheetId="1">TDLC!$A$29</definedName>
    <definedName name="Isolated" localSheetId="0">#REF!</definedName>
    <definedName name="Isolated">#REF!</definedName>
    <definedName name="Loading" localSheetId="1">TDLC!#REF!</definedName>
    <definedName name="Location" localSheetId="0">#REF!</definedName>
    <definedName name="Location">#REF!</definedName>
    <definedName name="NRDistrict" localSheetId="0">#REF!</definedName>
    <definedName name="NRDistrict">#REF!</definedName>
    <definedName name="Operations" localSheetId="0">#REF!</definedName>
    <definedName name="Operations">#REF!</definedName>
    <definedName name="Type" localSheetId="0">#REF!</definedName>
    <definedName name="Type">#REF!</definedName>
    <definedName name="ww">#REF!</definedName>
    <definedName name="Yarding" localSheetId="1">TDLC!$A$25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" l="1"/>
  <c r="D31" i="1"/>
  <c r="D25" i="1"/>
  <c r="D21" i="1"/>
  <c r="D15" i="1"/>
  <c r="D6" i="1"/>
  <c r="C5" i="1"/>
  <c r="C36" i="1"/>
  <c r="C31" i="1"/>
  <c r="C25" i="1"/>
  <c r="C21" i="1"/>
  <c r="C15" i="1"/>
  <c r="C6" i="1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32" i="8"/>
  <c r="D18" i="13"/>
  <c r="D19" i="13"/>
  <c r="D20" i="13"/>
  <c r="D21" i="13"/>
  <c r="D22" i="13"/>
  <c r="D23" i="13"/>
  <c r="D24" i="13"/>
  <c r="D25" i="13"/>
  <c r="D5" i="13"/>
  <c r="D6" i="13"/>
  <c r="D7" i="13"/>
  <c r="D8" i="13"/>
  <c r="D9" i="13"/>
  <c r="D10" i="13"/>
  <c r="D11" i="13"/>
  <c r="D12" i="13"/>
  <c r="H38" i="1"/>
  <c r="H37" i="1"/>
  <c r="H35" i="1"/>
  <c r="H34" i="1"/>
  <c r="H33" i="1"/>
  <c r="H32" i="1"/>
  <c r="H30" i="1"/>
  <c r="H29" i="1"/>
  <c r="H28" i="1"/>
  <c r="H27" i="1"/>
  <c r="H26" i="1"/>
  <c r="H24" i="1"/>
  <c r="H23" i="1"/>
  <c r="H22" i="1"/>
  <c r="H21" i="1"/>
  <c r="H19" i="1"/>
  <c r="H18" i="1"/>
  <c r="H17" i="1"/>
  <c r="H16" i="1"/>
  <c r="H14" i="1"/>
  <c r="H13" i="1"/>
  <c r="H12" i="1"/>
  <c r="H11" i="1"/>
  <c r="H10" i="1"/>
  <c r="H9" i="1"/>
  <c r="H8" i="1"/>
  <c r="H7" i="1"/>
  <c r="I22" i="2"/>
  <c r="H22" i="2"/>
  <c r="G22" i="2"/>
  <c r="I11" i="2"/>
  <c r="H11" i="2"/>
  <c r="G11" i="2"/>
  <c r="J4" i="15"/>
  <c r="J14" i="12"/>
  <c r="K14" i="12"/>
  <c r="I14" i="12"/>
  <c r="G14" i="7"/>
  <c r="F14" i="7"/>
  <c r="I14" i="10"/>
  <c r="H14" i="10"/>
  <c r="I4" i="2"/>
  <c r="E13" i="3"/>
  <c r="E14" i="3"/>
  <c r="E15" i="3"/>
  <c r="E16" i="3"/>
  <c r="E12" i="3"/>
  <c r="E5" i="3"/>
  <c r="E6" i="3"/>
  <c r="E7" i="3"/>
  <c r="E4" i="3"/>
  <c r="D5" i="1" l="1"/>
  <c r="J5" i="11"/>
  <c r="J6" i="11"/>
  <c r="J7" i="11"/>
  <c r="J8" i="11"/>
  <c r="J9" i="11"/>
  <c r="J10" i="11"/>
  <c r="J11" i="11"/>
  <c r="J4" i="11"/>
  <c r="D17" i="13"/>
  <c r="D4" i="13"/>
  <c r="E7" i="1"/>
  <c r="F7" i="1"/>
  <c r="G7" i="1" s="1"/>
  <c r="E8" i="1"/>
  <c r="F8" i="1"/>
  <c r="G8" i="1" s="1"/>
  <c r="E9" i="1"/>
  <c r="F9" i="1"/>
  <c r="E10" i="1"/>
  <c r="F10" i="1"/>
  <c r="E11" i="1"/>
  <c r="F11" i="1"/>
  <c r="G11" i="1" s="1"/>
  <c r="E12" i="1"/>
  <c r="F12" i="1"/>
  <c r="G12" i="1"/>
  <c r="E13" i="1"/>
  <c r="G13" i="1" s="1"/>
  <c r="F13" i="1"/>
  <c r="E14" i="1"/>
  <c r="F14" i="1"/>
  <c r="G14" i="1" s="1"/>
  <c r="E16" i="1"/>
  <c r="F16" i="1"/>
  <c r="G16" i="1"/>
  <c r="E17" i="1"/>
  <c r="F17" i="1"/>
  <c r="E18" i="1"/>
  <c r="F18" i="1"/>
  <c r="E19" i="1"/>
  <c r="F19" i="1"/>
  <c r="E22" i="1"/>
  <c r="F22" i="1"/>
  <c r="E23" i="1"/>
  <c r="F23" i="1"/>
  <c r="E24" i="1"/>
  <c r="F24" i="1"/>
  <c r="E26" i="1"/>
  <c r="F26" i="1"/>
  <c r="E27" i="1"/>
  <c r="F27" i="1"/>
  <c r="G27" i="1" s="1"/>
  <c r="E28" i="1"/>
  <c r="F28" i="1"/>
  <c r="E29" i="1"/>
  <c r="F29" i="1"/>
  <c r="E30" i="1"/>
  <c r="F30" i="1"/>
  <c r="E32" i="1"/>
  <c r="F32" i="1"/>
  <c r="E33" i="1"/>
  <c r="F33" i="1"/>
  <c r="G33" i="1"/>
  <c r="E34" i="1"/>
  <c r="F34" i="1"/>
  <c r="G34" i="1" s="1"/>
  <c r="E35" i="1"/>
  <c r="F35" i="1"/>
  <c r="G35" i="1" s="1"/>
  <c r="E37" i="1"/>
  <c r="F37" i="1"/>
  <c r="E38" i="1"/>
  <c r="F38" i="1"/>
  <c r="G38" i="1" s="1"/>
  <c r="I15" i="2"/>
  <c r="I16" i="2"/>
  <c r="I17" i="2"/>
  <c r="I8" i="2"/>
  <c r="I9" i="2"/>
  <c r="I21" i="2"/>
  <c r="I20" i="2"/>
  <c r="I19" i="2"/>
  <c r="I18" i="2"/>
  <c r="I14" i="2"/>
  <c r="D17" i="3"/>
  <c r="E17" i="3" s="1"/>
  <c r="C26" i="13"/>
  <c r="G17" i="4"/>
  <c r="H17" i="4" s="1"/>
  <c r="F17" i="4"/>
  <c r="H16" i="4"/>
  <c r="H15" i="4"/>
  <c r="H14" i="4"/>
  <c r="H13" i="4"/>
  <c r="H12" i="4"/>
  <c r="G37" i="1" l="1"/>
  <c r="G30" i="1"/>
  <c r="G24" i="1"/>
  <c r="G32" i="1"/>
  <c r="G9" i="1"/>
  <c r="G18" i="1"/>
  <c r="G29" i="1"/>
  <c r="G26" i="1"/>
  <c r="G19" i="1"/>
  <c r="G22" i="1"/>
  <c r="G17" i="1"/>
  <c r="G23" i="1"/>
  <c r="G28" i="1"/>
  <c r="G10" i="1"/>
  <c r="D26" i="13"/>
  <c r="I10" i="2" l="1"/>
  <c r="F36" i="1"/>
  <c r="H25" i="1"/>
  <c r="F25" i="1"/>
  <c r="E21" i="1"/>
  <c r="H15" i="1"/>
  <c r="F15" i="1"/>
  <c r="F6" i="1"/>
  <c r="G4" i="9"/>
  <c r="G5" i="9"/>
  <c r="G6" i="9"/>
  <c r="G7" i="9"/>
  <c r="G8" i="9"/>
  <c r="G9" i="9"/>
  <c r="G10" i="9"/>
  <c r="G11" i="9"/>
  <c r="G12" i="9"/>
  <c r="G13" i="9"/>
  <c r="G4" i="7"/>
  <c r="G5" i="7"/>
  <c r="G6" i="7"/>
  <c r="G7" i="7"/>
  <c r="G8" i="7"/>
  <c r="G9" i="7"/>
  <c r="G10" i="7"/>
  <c r="G11" i="7"/>
  <c r="G12" i="7"/>
  <c r="G13" i="7"/>
  <c r="I4" i="10"/>
  <c r="I5" i="10"/>
  <c r="I6" i="10"/>
  <c r="I7" i="10"/>
  <c r="I8" i="10"/>
  <c r="I9" i="10"/>
  <c r="I10" i="10"/>
  <c r="I11" i="10"/>
  <c r="I12" i="10"/>
  <c r="I13" i="10"/>
  <c r="I5" i="2"/>
  <c r="I6" i="2"/>
  <c r="I7" i="2"/>
  <c r="H11" i="18"/>
  <c r="F4" i="18"/>
  <c r="H4" i="18" s="1"/>
  <c r="F5" i="18"/>
  <c r="H5" i="18" s="1"/>
  <c r="F6" i="18"/>
  <c r="H6" i="18" s="1"/>
  <c r="F7" i="18"/>
  <c r="H7" i="18" s="1"/>
  <c r="F8" i="18"/>
  <c r="H8" i="18" s="1"/>
  <c r="F9" i="18"/>
  <c r="H9" i="18" s="1"/>
  <c r="F10" i="18"/>
  <c r="H10" i="18" s="1"/>
  <c r="F11" i="18"/>
  <c r="F12" i="18"/>
  <c r="H12" i="18" s="1"/>
  <c r="F13" i="18"/>
  <c r="H13" i="18" s="1"/>
  <c r="J5" i="15"/>
  <c r="J6" i="15"/>
  <c r="J7" i="15"/>
  <c r="J8" i="15"/>
  <c r="J9" i="15"/>
  <c r="J10" i="15"/>
  <c r="J11" i="15"/>
  <c r="J12" i="15"/>
  <c r="J13" i="15"/>
  <c r="H4" i="4"/>
  <c r="H5" i="4"/>
  <c r="H6" i="4"/>
  <c r="H7" i="4"/>
  <c r="H8" i="4"/>
  <c r="L4" i="12"/>
  <c r="I6" i="6"/>
  <c r="I5" i="6"/>
  <c r="I7" i="6"/>
  <c r="I8" i="6"/>
  <c r="I9" i="6"/>
  <c r="I10" i="6"/>
  <c r="I11" i="6"/>
  <c r="I12" i="6"/>
  <c r="I13" i="6"/>
  <c r="I4" i="6"/>
  <c r="L5" i="12"/>
  <c r="L6" i="12"/>
  <c r="L7" i="12"/>
  <c r="L8" i="12"/>
  <c r="L9" i="12"/>
  <c r="L10" i="12"/>
  <c r="L11" i="12"/>
  <c r="L12" i="12"/>
  <c r="L13" i="12"/>
  <c r="L14" i="12" l="1"/>
  <c r="H36" i="1"/>
  <c r="E36" i="1"/>
  <c r="G36" i="1" s="1"/>
  <c r="E25" i="1"/>
  <c r="G25" i="1" s="1"/>
  <c r="F21" i="1"/>
  <c r="G21" i="1" s="1"/>
  <c r="E15" i="1"/>
  <c r="G15" i="1" s="1"/>
  <c r="F31" i="1"/>
  <c r="F5" i="1" l="1"/>
  <c r="H31" i="1"/>
  <c r="E31" i="1"/>
  <c r="G31" i="1" s="1"/>
  <c r="G14" i="18"/>
  <c r="E14" i="18"/>
  <c r="D14" i="18"/>
  <c r="C14" i="18"/>
  <c r="F14" i="18" l="1"/>
  <c r="H14" i="18" s="1"/>
  <c r="F14" i="9"/>
  <c r="E14" i="9"/>
  <c r="G14" i="9" s="1"/>
  <c r="G14" i="10"/>
  <c r="I14" i="15"/>
  <c r="H14" i="15"/>
  <c r="F9" i="4"/>
  <c r="G9" i="4"/>
  <c r="D8" i="3"/>
  <c r="E8" i="3" s="1"/>
  <c r="F14" i="6"/>
  <c r="H12" i="11"/>
  <c r="J12" i="11" s="1"/>
  <c r="I12" i="11"/>
  <c r="H9" i="4" l="1"/>
  <c r="J14" i="15"/>
  <c r="G14" i="6"/>
  <c r="C14" i="9" l="1"/>
  <c r="D14" i="9"/>
  <c r="E14" i="7"/>
  <c r="E14" i="6"/>
  <c r="H14" i="6"/>
  <c r="I14" i="6" s="1"/>
  <c r="H6" i="1" l="1"/>
  <c r="C13" i="13"/>
  <c r="D13" i="13"/>
  <c r="E6" i="1" l="1"/>
  <c r="G6" i="1" s="1"/>
  <c r="H5" i="1"/>
  <c r="E5" i="1" l="1"/>
  <c r="G5" i="1" s="1"/>
</calcChain>
</file>

<file path=xl/sharedStrings.xml><?xml version="1.0" encoding="utf-8"?>
<sst xmlns="http://schemas.openxmlformats.org/spreadsheetml/2006/main" count="667" uniqueCount="295">
  <si>
    <t xml:space="preserve">Ministry of Forests, Timber Pricing Branch </t>
  </si>
  <si>
    <t xml:space="preserve">Licensee: </t>
  </si>
  <si>
    <t>Compant Name</t>
  </si>
  <si>
    <t xml:space="preserve">CPA Contact: </t>
  </si>
  <si>
    <t>Location</t>
  </si>
  <si>
    <t>Reporting Period:</t>
  </si>
  <si>
    <t>From: Month/Year</t>
  </si>
  <si>
    <t>To: Month/Year</t>
  </si>
  <si>
    <t>Email</t>
  </si>
  <si>
    <t xml:space="preserve">Licenses: </t>
  </si>
  <si>
    <t>List of License(s) Reported</t>
  </si>
  <si>
    <t>Phone</t>
  </si>
  <si>
    <t xml:space="preserve">RPF Contact: </t>
  </si>
  <si>
    <t>Partners:</t>
  </si>
  <si>
    <t>List of Partners / Joint Ventures Reported</t>
  </si>
  <si>
    <t xml:space="preserve">Certifications: </t>
  </si>
  <si>
    <t>Name of Qualified CPA</t>
  </si>
  <si>
    <t xml:space="preserve">Signature </t>
  </si>
  <si>
    <t>Name of Qualified BC RPF or RFP</t>
  </si>
  <si>
    <t xml:space="preserve">Written instructions that accompany this survey template are found at: </t>
  </si>
  <si>
    <t>Coast Crown Tenure Management Cost Survey - Province of British Columbia</t>
  </si>
  <si>
    <t xml:space="preserve">Email to: </t>
  </si>
  <si>
    <t>FORCLCS@Victoria1.gov.bc.ca</t>
  </si>
  <si>
    <r>
      <t xml:space="preserve">The workbook is confidential once populated with data and protected under Section 136 of </t>
    </r>
    <r>
      <rPr>
        <b/>
        <i/>
        <sz val="12"/>
        <rFont val="Aptos Narrow"/>
        <family val="2"/>
        <scheme val="minor"/>
      </rPr>
      <t>the Forest Act</t>
    </r>
    <r>
      <rPr>
        <b/>
        <sz val="12"/>
        <rFont val="Aptos Narrow"/>
        <family val="2"/>
        <scheme val="minor"/>
      </rPr>
      <t xml:space="preserve">. </t>
    </r>
  </si>
  <si>
    <t>Total Delivered Log Cost</t>
  </si>
  <si>
    <t>I.  Delivered Log Volume</t>
  </si>
  <si>
    <t>Comments</t>
  </si>
  <si>
    <t>II.  Total Delivered Log Cost</t>
  </si>
  <si>
    <t>III.  Tenure Obligations</t>
  </si>
  <si>
    <t>Schedule 1- FMA</t>
  </si>
  <si>
    <t>Forest Management and Administration</t>
  </si>
  <si>
    <t>Schedule 2- ROAD</t>
  </si>
  <si>
    <t>New Road Construction</t>
  </si>
  <si>
    <t>Schedule 3- BRDG</t>
  </si>
  <si>
    <t>New Bridges</t>
  </si>
  <si>
    <t>Schedule 4- CLVT</t>
  </si>
  <si>
    <t>New Round Metal Culverts, Box Culverts</t>
  </si>
  <si>
    <t>Schedule 5- RD MGT</t>
  </si>
  <si>
    <t>Road Management</t>
  </si>
  <si>
    <t>Schedule 6- SILV</t>
  </si>
  <si>
    <t>Silviculture</t>
  </si>
  <si>
    <t>Schedule 7- RDC</t>
  </si>
  <si>
    <t>Root Disease Control</t>
  </si>
  <si>
    <t>Schedule 8- CLT BRN</t>
  </si>
  <si>
    <t>Cultural Burning</t>
  </si>
  <si>
    <t>IV.  Specified Operations</t>
  </si>
  <si>
    <t>Schedule 10- BRG TW</t>
  </si>
  <si>
    <t>Log Barge and Tow Transportation</t>
  </si>
  <si>
    <t>Schedule 11- INLND WTR</t>
  </si>
  <si>
    <t>Inland Water Transportation</t>
  </si>
  <si>
    <t>Schedule 12- CRN MOD</t>
  </si>
  <si>
    <t>Tree Crown Modification</t>
  </si>
  <si>
    <t>Schedule 13- LOW BD</t>
  </si>
  <si>
    <t>Off Highway Logging Truck or Lowbed</t>
  </si>
  <si>
    <t>V.  Other Direct Logging Costs</t>
  </si>
  <si>
    <t>VI. Other Indirect Logging Costs</t>
  </si>
  <si>
    <t>VII.  Stumpage, Rents, Fees</t>
  </si>
  <si>
    <t>VIII. Unallocated or Other Costs</t>
  </si>
  <si>
    <t>Category</t>
  </si>
  <si>
    <t>Total Cost ($)</t>
  </si>
  <si>
    <t>Crown Volume (m3)</t>
  </si>
  <si>
    <t xml:space="preserve">$/m3 </t>
  </si>
  <si>
    <t>New Road Construction - Bank Height Categories</t>
  </si>
  <si>
    <t>Identifier</t>
  </si>
  <si>
    <t>Point of Origin Area</t>
  </si>
  <si>
    <t>Timber Supply Block or Tree Farm License/Block</t>
  </si>
  <si>
    <t>Isolated (Yes/No)</t>
  </si>
  <si>
    <t>Bank Height Construction Category</t>
  </si>
  <si>
    <t>Rock Hardness</t>
  </si>
  <si>
    <t>Ballast Haul Distance (km)</t>
  </si>
  <si>
    <t>Cost ($)</t>
  </si>
  <si>
    <t>Length (m)</t>
  </si>
  <si>
    <t>New Bridge Construction</t>
  </si>
  <si>
    <t>Bridge Type</t>
  </si>
  <si>
    <t>Design Load Capacity Rating</t>
  </si>
  <si>
    <t>Span Material</t>
  </si>
  <si>
    <t xml:space="preserve">Span Length (m) </t>
  </si>
  <si>
    <t>Deck Material</t>
  </si>
  <si>
    <t>Deck Width (m)</t>
  </si>
  <si>
    <t>Abutment Material</t>
  </si>
  <si>
    <t xml:space="preserve">Abutment Height (m) </t>
  </si>
  <si>
    <t>Material Cost ($)</t>
  </si>
  <si>
    <t>Installation Cost ($)</t>
  </si>
  <si>
    <t>Total Bridge Cost ($)</t>
  </si>
  <si>
    <t>Round Metal and Wood Box Culverts</t>
  </si>
  <si>
    <t>Type</t>
  </si>
  <si>
    <t>Height / or Diameter (m)</t>
  </si>
  <si>
    <t>Culvert Length  (m)</t>
  </si>
  <si>
    <t>Total Material Cost ($)</t>
  </si>
  <si>
    <t>Total Install Cost ($)</t>
  </si>
  <si>
    <t>Number of Culverts</t>
  </si>
  <si>
    <t>$/Unit</t>
  </si>
  <si>
    <t>District</t>
  </si>
  <si>
    <t>RESULTS
Silviculture Activity</t>
  </si>
  <si>
    <t>Silviculture System</t>
  </si>
  <si>
    <t>Area (ha)</t>
  </si>
  <si>
    <t>$/Hectare</t>
  </si>
  <si>
    <t>Average Slope (%)</t>
  </si>
  <si>
    <t>Stems per Hectare by Diameter Class &lt;30 cm</t>
  </si>
  <si>
    <t>Stems per Hectare by Diameter Class 30-40 cm</t>
  </si>
  <si>
    <t>Stems per Hectare by Diameter Class 40-50 cm</t>
  </si>
  <si>
    <t>Stems per Hectare by Diameter Class 50-60 cm</t>
  </si>
  <si>
    <t>Stems per Hectare by Diameter Class 60+ cm</t>
  </si>
  <si>
    <t>$/ha</t>
  </si>
  <si>
    <t>Prescription</t>
  </si>
  <si>
    <t>Prescription and Planning ($)</t>
  </si>
  <si>
    <t>Burning ($)</t>
  </si>
  <si>
    <t>Mop-up, Monitor ($)</t>
  </si>
  <si>
    <t>Treatment Area (ha)</t>
  </si>
  <si>
    <t>$/Ha</t>
  </si>
  <si>
    <t>Harvest Systems</t>
  </si>
  <si>
    <t>Harvest System</t>
  </si>
  <si>
    <t>Heli Drop Area</t>
  </si>
  <si>
    <t>Skyline Distance (m)</t>
  </si>
  <si>
    <t>Towing or Barging</t>
  </si>
  <si>
    <t>Point of Origin</t>
  </si>
  <si>
    <t>Local Tie-up Grounds</t>
  </si>
  <si>
    <t>Destination</t>
  </si>
  <si>
    <t>One Way Distance (km)</t>
  </si>
  <si>
    <t>Total ($)</t>
  </si>
  <si>
    <t>Inland Water Tow Transportation</t>
  </si>
  <si>
    <t>Lake Name</t>
  </si>
  <si>
    <t>One Way Distance Towed (km)</t>
  </si>
  <si>
    <t>Activity</t>
  </si>
  <si>
    <t>Old Growth / Second Growth</t>
  </si>
  <si>
    <t>Harvest Area Volume (m3)</t>
  </si>
  <si>
    <t>Harvest Area Treated (ha)</t>
  </si>
  <si>
    <t>Number of Trees Treated</t>
  </si>
  <si>
    <t>$/Tree</t>
  </si>
  <si>
    <t>Maximum Capacity</t>
  </si>
  <si>
    <t>Manufacturer</t>
  </si>
  <si>
    <t>Model Year</t>
  </si>
  <si>
    <t>Model Name</t>
  </si>
  <si>
    <t>$/Hour</t>
  </si>
  <si>
    <t>Heli-Clearcut</t>
  </si>
  <si>
    <t>Land</t>
  </si>
  <si>
    <t>Isolated</t>
  </si>
  <si>
    <t>Fees and Insurance</t>
  </si>
  <si>
    <t>Dump and Boom</t>
  </si>
  <si>
    <t>Heli-Select</t>
  </si>
  <si>
    <t>Water</t>
  </si>
  <si>
    <t>Accessible</t>
  </si>
  <si>
    <t>Taxes, Leases, Rents</t>
  </si>
  <si>
    <t>Lake Tow</t>
  </si>
  <si>
    <t>Heli Single Standing Stem Selection</t>
  </si>
  <si>
    <t>Wages/Salary</t>
  </si>
  <si>
    <t>Dewater and Reload</t>
  </si>
  <si>
    <t>Skyline</t>
  </si>
  <si>
    <t>Vehicles</t>
  </si>
  <si>
    <t>Highlead Cable</t>
  </si>
  <si>
    <t>Log</t>
  </si>
  <si>
    <t>Pre-Harvest Development (Contract)</t>
  </si>
  <si>
    <t>Ground Based</t>
  </si>
  <si>
    <t>Perminant</t>
  </si>
  <si>
    <t>Office Expenses</t>
  </si>
  <si>
    <t>Campbell River</t>
  </si>
  <si>
    <t>Tethered</t>
  </si>
  <si>
    <t>Portable</t>
  </si>
  <si>
    <t>Depreciation of Administrative Assets</t>
  </si>
  <si>
    <t>Chilliwack</t>
  </si>
  <si>
    <t>North Island - Central Coast</t>
  </si>
  <si>
    <t>Other ( please specify)</t>
  </si>
  <si>
    <t>Other (please specify in the comments)</t>
  </si>
  <si>
    <t>Sea to Sky</t>
  </si>
  <si>
    <t>Round Metal Culvert</t>
  </si>
  <si>
    <t>Concrete</t>
  </si>
  <si>
    <t>South Island</t>
  </si>
  <si>
    <t>Box Culvert</t>
  </si>
  <si>
    <t>Steel</t>
  </si>
  <si>
    <t>Sunshine Coast</t>
  </si>
  <si>
    <t>Wood</t>
  </si>
  <si>
    <t>Steel Posts on Pad</t>
  </si>
  <si>
    <t>Squamish</t>
  </si>
  <si>
    <t>Gravel</t>
  </si>
  <si>
    <t>Timber / Log</t>
  </si>
  <si>
    <t>Piles</t>
  </si>
  <si>
    <t>Clear Cut</t>
  </si>
  <si>
    <t>Log Stringer</t>
  </si>
  <si>
    <t>Partial Cut</t>
  </si>
  <si>
    <t>Other</t>
  </si>
  <si>
    <t>Great Central</t>
  </si>
  <si>
    <t>Owikeno</t>
  </si>
  <si>
    <t>Site Prep</t>
  </si>
  <si>
    <t>Old Growth</t>
  </si>
  <si>
    <t>Powell</t>
  </si>
  <si>
    <t>Planting</t>
  </si>
  <si>
    <t>Second Growth</t>
  </si>
  <si>
    <t>Fill Plant</t>
  </si>
  <si>
    <t>Off- Highway Logging Truck</t>
  </si>
  <si>
    <t>Survey</t>
  </si>
  <si>
    <t>Off-Highway Lowbed &amp; Truck</t>
  </si>
  <si>
    <t>Barkley-Clayoquot</t>
  </si>
  <si>
    <t>Pest Control</t>
  </si>
  <si>
    <t>Bute Inlet</t>
  </si>
  <si>
    <t>Towing</t>
  </si>
  <si>
    <t>Fertilization</t>
  </si>
  <si>
    <t>Routine Maintenance</t>
  </si>
  <si>
    <t>Courtenay-Comox</t>
  </si>
  <si>
    <t>Barging</t>
  </si>
  <si>
    <t>Brushing</t>
  </si>
  <si>
    <t>Recoveries</t>
  </si>
  <si>
    <t>Dewdney</t>
  </si>
  <si>
    <t>Pruning</t>
  </si>
  <si>
    <t>Deactivation/Rehab./Access Management</t>
  </si>
  <si>
    <t>Drury-Seymour</t>
  </si>
  <si>
    <t>Juvernile Spacing</t>
  </si>
  <si>
    <t>Esperanza</t>
  </si>
  <si>
    <t>Soft/Medium</t>
  </si>
  <si>
    <t>Gilford-Knight</t>
  </si>
  <si>
    <t>Hard</t>
  </si>
  <si>
    <t>Graham Island</t>
  </si>
  <si>
    <t>Harrison</t>
  </si>
  <si>
    <t>Jervis-Sechelt</t>
  </si>
  <si>
    <t>Juan de Fuca</t>
  </si>
  <si>
    <t>Kelsey-Adam</t>
  </si>
  <si>
    <t>Kokish</t>
  </si>
  <si>
    <t>Menzies-Sayward Forest</t>
  </si>
  <si>
    <t>Mid-Coast</t>
  </si>
  <si>
    <t>Nootka Sound</t>
  </si>
  <si>
    <t>North Coast</t>
  </si>
  <si>
    <t>Port McNeill-Hardy</t>
  </si>
  <si>
    <t>Quatsino Sound</t>
  </si>
  <si>
    <t>Sloquet</t>
  </si>
  <si>
    <t>Southeast Vancouver Island</t>
  </si>
  <si>
    <t>Squamish-Pemberton</t>
  </si>
  <si>
    <t>Thurlow</t>
  </si>
  <si>
    <t>Clayoquot Special Land Use Area</t>
  </si>
  <si>
    <t>Haida Gwaii Special Land Use Area</t>
  </si>
  <si>
    <t>Great Bear Rainforest (South) Special Land Use Area</t>
  </si>
  <si>
    <t>Great Bear Rainforest (North) Special Land Use Area</t>
  </si>
  <si>
    <t>Regular Crown Land</t>
  </si>
  <si>
    <t>Isolated or Accessable</t>
  </si>
  <si>
    <t>OMLB</t>
  </si>
  <si>
    <t>OMPR</t>
  </si>
  <si>
    <t>OMRB</t>
  </si>
  <si>
    <t>TOE</t>
  </si>
  <si>
    <t>MRK</t>
  </si>
  <si>
    <t>HRK</t>
  </si>
  <si>
    <t>XRK</t>
  </si>
  <si>
    <t>XXRK</t>
  </si>
  <si>
    <t>Schedule 9- HARVEST</t>
  </si>
  <si>
    <t>Crown Special Land Use Area ($/m3)</t>
  </si>
  <si>
    <t>Biogeoclimatic Variant</t>
  </si>
  <si>
    <t>Select</t>
  </si>
  <si>
    <t>Harvest Volume (m3)</t>
  </si>
  <si>
    <t>% if not 100% of the Volume</t>
  </si>
  <si>
    <t>1. Road/Bridge/Culvert/Log Dump Engineering</t>
  </si>
  <si>
    <t>2. Off Highway/Highway Log Transportation</t>
  </si>
  <si>
    <t>3. Dumping, Unloading, Sorting, Booming</t>
  </si>
  <si>
    <t>4. Corporate Management and Administration</t>
  </si>
  <si>
    <t>5. Camp Operations</t>
  </si>
  <si>
    <t>6. Scaling</t>
  </si>
  <si>
    <t>7. Silviculture Accruals</t>
  </si>
  <si>
    <t>8. Waste and Residue Assessments</t>
  </si>
  <si>
    <t>9. Stumpage and Waste Fees</t>
  </si>
  <si>
    <t>10. Annual Rent</t>
  </si>
  <si>
    <t>11. Road Access Fees</t>
  </si>
  <si>
    <t>12. Fee-in-Lieu , Other Fees, Rents, Licenses and Charges</t>
  </si>
  <si>
    <t>Regular Crown Land
($/m3)</t>
  </si>
  <si>
    <t>Weighted Total
($/m3)</t>
  </si>
  <si>
    <t>$/m</t>
  </si>
  <si>
    <t xml:space="preserve">**Corporate Tenure Obligation Costs • Corporate costs allocated to the company’s ‘Forest Management and Administration’ account and must be directly related to tenure obligation activity costs. </t>
  </si>
  <si>
    <t>Corporate Tenure Obligation Costs**</t>
  </si>
  <si>
    <t>Differential (SUA - Crown)
($/m3)</t>
  </si>
  <si>
    <t>Crown Special Land Use Area (SUA)</t>
  </si>
  <si>
    <t>Mixed</t>
  </si>
  <si>
    <t>(Volume from TDLC)</t>
  </si>
  <si>
    <t>Unallocated (please describe in the comments)</t>
  </si>
  <si>
    <t>Other Category (please describe in the comments)</t>
  </si>
  <si>
    <t>Clayoquot, Haida Gwaii, Great Bear, or other Special Use Area</t>
  </si>
  <si>
    <t>BKCL</t>
  </si>
  <si>
    <t>BUTE</t>
  </si>
  <si>
    <t>COCO</t>
  </si>
  <si>
    <t>DEWD</t>
  </si>
  <si>
    <t>DRSE</t>
  </si>
  <si>
    <t>ESPE</t>
  </si>
  <si>
    <t>GKIN</t>
  </si>
  <si>
    <t>GRIS</t>
  </si>
  <si>
    <t>HARR</t>
  </si>
  <si>
    <t>JEIS</t>
  </si>
  <si>
    <t>JUDF</t>
  </si>
  <si>
    <t>KEAD</t>
  </si>
  <si>
    <t>KOKI</t>
  </si>
  <si>
    <t>MESF</t>
  </si>
  <si>
    <t>MIDC</t>
  </si>
  <si>
    <t>NOSO</t>
  </si>
  <si>
    <t>NTHC</t>
  </si>
  <si>
    <t>POMH</t>
  </si>
  <si>
    <t>QUSO</t>
  </si>
  <si>
    <t>SLOQ</t>
  </si>
  <si>
    <t>SEVI</t>
  </si>
  <si>
    <t>SQPM</t>
  </si>
  <si>
    <t>SUCO</t>
  </si>
  <si>
    <t>THUR</t>
  </si>
  <si>
    <t>2026 Coast Log Cost Survey (cost base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</si>
</sst>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#,##0\ &quot;m3&quot;"/>
    <numFmt numFmtId="166" formatCode="0.0\ &quot;km&quot;"/>
    <numFmt numFmtId="167" formatCode="#,##0\ &quot;km&quot;"/>
    <numFmt numFmtId="168" formatCode="General\ &quot;km&quot;"/>
    <numFmt numFmtId="169" formatCode="General\ &quot;m&quot;"/>
    <numFmt numFmtId="170" formatCode="0.00\ &quot;/m3&quot;"/>
    <numFmt numFmtId="171" formatCode="0\ &quot;m3&quot;"/>
    <numFmt numFmtId="172" formatCode="0.00\ &quot;/Tree&quot;"/>
    <numFmt numFmtId="173" formatCode="0.00\ &quot;/Hour&quot;"/>
    <numFmt numFmtId="174" formatCode="0.0\ &quot;ha&quot;"/>
    <numFmt numFmtId="175" formatCode="0.00\ &quot;/ha&quot;"/>
    <numFmt numFmtId="176" formatCode="0.00\ &quot;/Unit&quot;"/>
    <numFmt numFmtId="177" formatCode="#,##0.00_ &quot;/m3&quot;\ ;[Red]\-#,##0.00\ &quot;/m3&quot;\ ;&quot;-&quot;"/>
    <numFmt numFmtId="178" formatCode="0.00\ &quot;/m&quot;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name val="Aptos Narrow"/>
      <family val="2"/>
      <scheme val="minor"/>
    </font>
    <font>
      <sz val="10"/>
      <name val="Arial"/>
      <family val="2"/>
    </font>
    <font>
      <b/>
      <sz val="12"/>
      <color theme="1"/>
      <name val="Aptos Narrow"/>
      <family val="2"/>
      <scheme val="minor"/>
    </font>
    <font>
      <sz val="10"/>
      <name val="Arial"/>
      <family val="2"/>
    </font>
    <font>
      <sz val="12"/>
      <color indexed="8"/>
      <name val="Aptos Narrow"/>
      <family val="2"/>
      <scheme val="minor"/>
    </font>
    <font>
      <b/>
      <sz val="12"/>
      <name val="Aptos Narrow"/>
      <family val="2"/>
      <scheme val="minor"/>
    </font>
    <font>
      <b/>
      <u/>
      <sz val="12"/>
      <name val="Aptos Narrow"/>
      <family val="2"/>
      <scheme val="minor"/>
    </font>
    <font>
      <b/>
      <u/>
      <sz val="12"/>
      <color theme="1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b/>
      <u/>
      <sz val="12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8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b/>
      <i/>
      <sz val="12"/>
      <name val="Aptos Narrow"/>
      <family val="2"/>
      <scheme val="minor"/>
    </font>
    <font>
      <b/>
      <sz val="12"/>
      <color rgb="FF0070C0"/>
      <name val="Aptos Narrow"/>
      <family val="2"/>
      <scheme val="minor"/>
    </font>
    <font>
      <b/>
      <sz val="12"/>
      <color theme="6"/>
      <name val="Aptos Narrow"/>
      <family val="2"/>
      <scheme val="minor"/>
    </font>
    <font>
      <i/>
      <sz val="12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3">
    <xf numFmtId="0" fontId="0" fillId="0" borderId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0" fontId="1" fillId="0" borderId="0"/>
    <xf numFmtId="0" fontId="13" fillId="0" borderId="0" applyNumberForma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93">
    <xf numFmtId="0" fontId="0" fillId="0" borderId="0" xfId="0"/>
    <xf numFmtId="0" fontId="2" fillId="0" borderId="0" xfId="4" applyFont="1"/>
    <xf numFmtId="0" fontId="3" fillId="0" borderId="0" xfId="4" applyFont="1" applyAlignment="1">
      <alignment wrapText="1"/>
    </xf>
    <xf numFmtId="0" fontId="3" fillId="0" borderId="0" xfId="4" applyFont="1" applyAlignment="1">
      <alignment horizontal="left" vertical="top" wrapText="1"/>
    </xf>
    <xf numFmtId="0" fontId="3" fillId="0" borderId="0" xfId="5" applyFont="1"/>
    <xf numFmtId="0" fontId="3" fillId="0" borderId="0" xfId="5" applyFont="1" applyAlignment="1">
      <alignment wrapText="1"/>
    </xf>
    <xf numFmtId="0" fontId="3" fillId="0" borderId="0" xfId="5" applyFont="1" applyAlignment="1">
      <alignment horizontal="left" vertical="top"/>
    </xf>
    <xf numFmtId="0" fontId="9" fillId="0" borderId="0" xfId="5" applyFont="1"/>
    <xf numFmtId="0" fontId="2" fillId="0" borderId="0" xfId="6" applyFont="1"/>
    <xf numFmtId="0" fontId="10" fillId="0" borderId="0" xfId="6" applyFont="1"/>
    <xf numFmtId="0" fontId="3" fillId="0" borderId="3" xfId="2" applyNumberFormat="1" applyFont="1" applyFill="1" applyBorder="1" applyAlignment="1">
      <alignment horizontal="center" vertical="center"/>
    </xf>
    <xf numFmtId="0" fontId="3" fillId="0" borderId="3" xfId="3" applyNumberFormat="1" applyFont="1" applyFill="1" applyBorder="1" applyAlignment="1">
      <alignment horizontal="center" vertical="center"/>
    </xf>
    <xf numFmtId="0" fontId="3" fillId="0" borderId="1" xfId="2" applyNumberFormat="1" applyFont="1" applyFill="1" applyBorder="1" applyAlignment="1">
      <alignment horizontal="center" vertical="center"/>
    </xf>
    <xf numFmtId="0" fontId="3" fillId="0" borderId="1" xfId="3" applyNumberFormat="1" applyFont="1" applyFill="1" applyBorder="1" applyAlignment="1">
      <alignment horizontal="center" vertical="center"/>
    </xf>
    <xf numFmtId="0" fontId="3" fillId="0" borderId="6" xfId="2" applyNumberFormat="1" applyFont="1" applyFill="1" applyBorder="1" applyAlignment="1">
      <alignment horizontal="center" vertical="center"/>
    </xf>
    <xf numFmtId="0" fontId="3" fillId="0" borderId="6" xfId="3" applyNumberFormat="1" applyFont="1" applyFill="1" applyBorder="1" applyAlignment="1">
      <alignment horizontal="center" vertical="center"/>
    </xf>
    <xf numFmtId="0" fontId="8" fillId="0" borderId="9" xfId="5" applyFont="1" applyBorder="1" applyAlignment="1">
      <alignment horizontal="center" vertical="center" wrapText="1"/>
    </xf>
    <xf numFmtId="0" fontId="2" fillId="0" borderId="0" xfId="7" applyFont="1"/>
    <xf numFmtId="0" fontId="2" fillId="0" borderId="0" xfId="7" applyFont="1" applyAlignment="1">
      <alignment vertical="center" wrapText="1"/>
    </xf>
    <xf numFmtId="0" fontId="10" fillId="0" borderId="0" xfId="7" applyFont="1"/>
    <xf numFmtId="0" fontId="7" fillId="0" borderId="0" xfId="5" applyFont="1"/>
    <xf numFmtId="0" fontId="11" fillId="0" borderId="0" xfId="5" applyFont="1"/>
    <xf numFmtId="0" fontId="12" fillId="0" borderId="0" xfId="5" applyFont="1"/>
    <xf numFmtId="0" fontId="2" fillId="0" borderId="0" xfId="5" applyFont="1" applyAlignment="1">
      <alignment horizontal="center" vertical="center" wrapText="1"/>
    </xf>
    <xf numFmtId="0" fontId="2" fillId="0" borderId="0" xfId="5" applyFont="1" applyAlignment="1">
      <alignment horizontal="center"/>
    </xf>
    <xf numFmtId="0" fontId="2" fillId="0" borderId="0" xfId="5" applyFont="1" applyAlignment="1">
      <alignment horizontal="center" vertical="center"/>
    </xf>
    <xf numFmtId="44" fontId="2" fillId="0" borderId="0" xfId="2" applyFont="1" applyFill="1" applyBorder="1" applyAlignment="1">
      <alignment vertical="center"/>
    </xf>
    <xf numFmtId="0" fontId="2" fillId="0" borderId="0" xfId="5" applyFont="1" applyAlignment="1">
      <alignment horizontal="left" vertical="top"/>
    </xf>
    <xf numFmtId="166" fontId="2" fillId="0" borderId="0" xfId="1" applyNumberFormat="1" applyFont="1" applyFill="1" applyBorder="1" applyAlignment="1">
      <alignment horizontal="center" vertical="center"/>
    </xf>
    <xf numFmtId="44" fontId="2" fillId="0" borderId="0" xfId="2" applyFont="1" applyFill="1" applyBorder="1" applyAlignment="1">
      <alignment horizontal="center" vertical="center"/>
    </xf>
    <xf numFmtId="0" fontId="2" fillId="0" borderId="0" xfId="0" applyFont="1"/>
    <xf numFmtId="44" fontId="2" fillId="0" borderId="0" xfId="0" applyNumberFormat="1" applyFont="1" applyAlignment="1">
      <alignment vertical="center"/>
    </xf>
    <xf numFmtId="0" fontId="2" fillId="0" borderId="0" xfId="7" applyFont="1" applyAlignment="1">
      <alignment horizontal="center" vertical="center" wrapText="1"/>
    </xf>
    <xf numFmtId="0" fontId="2" fillId="2" borderId="0" xfId="7" applyFont="1" applyFill="1" applyAlignment="1">
      <alignment horizontal="center" vertical="center" wrapText="1"/>
    </xf>
    <xf numFmtId="0" fontId="2" fillId="0" borderId="0" xfId="7" applyFont="1" applyAlignment="1">
      <alignment horizontal="center" vertical="center"/>
    </xf>
    <xf numFmtId="0" fontId="2" fillId="0" borderId="0" xfId="7" applyFont="1" applyAlignment="1">
      <alignment horizontal="center"/>
    </xf>
    <xf numFmtId="0" fontId="2" fillId="0" borderId="0" xfId="3" applyNumberFormat="1" applyFont="1" applyFill="1" applyBorder="1" applyAlignment="1">
      <alignment horizontal="center" vertical="center"/>
    </xf>
    <xf numFmtId="44" fontId="2" fillId="0" borderId="0" xfId="2" applyFont="1" applyFill="1" applyBorder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44" fontId="2" fillId="0" borderId="0" xfId="0" applyNumberFormat="1" applyFont="1"/>
    <xf numFmtId="0" fontId="2" fillId="0" borderId="0" xfId="6" applyFont="1" applyAlignment="1">
      <alignment horizontal="center" vertical="center" wrapText="1"/>
    </xf>
    <xf numFmtId="0" fontId="2" fillId="2" borderId="0" xfId="5" applyFont="1" applyFill="1" applyAlignment="1">
      <alignment horizontal="center" vertical="center" wrapText="1"/>
    </xf>
    <xf numFmtId="0" fontId="2" fillId="0" borderId="0" xfId="6" applyFont="1" applyAlignment="1" applyProtection="1">
      <alignment horizontal="center" vertical="center"/>
      <protection locked="0"/>
    </xf>
    <xf numFmtId="44" fontId="2" fillId="0" borderId="0" xfId="2" applyFont="1" applyFill="1" applyBorder="1" applyAlignment="1" applyProtection="1">
      <alignment vertical="center"/>
      <protection locked="0"/>
    </xf>
    <xf numFmtId="0" fontId="2" fillId="0" borderId="0" xfId="6" applyFont="1" applyProtection="1">
      <protection locked="0"/>
    </xf>
    <xf numFmtId="0" fontId="2" fillId="0" borderId="0" xfId="0" applyFont="1" applyAlignment="1">
      <alignment horizontal="left" vertical="top"/>
    </xf>
    <xf numFmtId="0" fontId="8" fillId="0" borderId="0" xfId="5" applyFont="1"/>
    <xf numFmtId="0" fontId="8" fillId="0" borderId="0" xfId="5" applyFont="1" applyAlignment="1">
      <alignment vertical="top" wrapText="1"/>
    </xf>
    <xf numFmtId="167" fontId="2" fillId="0" borderId="0" xfId="1" applyNumberFormat="1" applyFont="1" applyFill="1" applyBorder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0" fontId="8" fillId="2" borderId="9" xfId="5" applyFont="1" applyFill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10" fillId="0" borderId="0" xfId="0" applyFont="1"/>
    <xf numFmtId="0" fontId="2" fillId="0" borderId="0" xfId="0" applyFont="1" applyAlignment="1">
      <alignment horizontal="center" vertical="center" wrapText="1"/>
    </xf>
    <xf numFmtId="44" fontId="2" fillId="0" borderId="0" xfId="2" applyFont="1" applyAlignment="1">
      <alignment horizontal="center" vertical="center" wrapText="1"/>
    </xf>
    <xf numFmtId="0" fontId="3" fillId="0" borderId="0" xfId="12" applyFont="1" applyAlignment="1">
      <alignment horizontal="center" vertical="center"/>
    </xf>
    <xf numFmtId="0" fontId="8" fillId="0" borderId="0" xfId="12" applyFont="1" applyAlignment="1">
      <alignment horizontal="center" vertical="center"/>
    </xf>
    <xf numFmtId="0" fontId="8" fillId="0" borderId="0" xfId="12" applyFont="1" applyAlignment="1">
      <alignment horizontal="left" vertical="center"/>
    </xf>
    <xf numFmtId="0" fontId="3" fillId="0" borderId="0" xfId="12" applyFont="1" applyAlignment="1">
      <alignment horizontal="left" vertical="center"/>
    </xf>
    <xf numFmtId="0" fontId="15" fillId="0" borderId="0" xfId="8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168" fontId="2" fillId="0" borderId="0" xfId="0" applyNumberFormat="1" applyFont="1" applyAlignment="1">
      <alignment horizontal="center" vertical="center"/>
    </xf>
    <xf numFmtId="44" fontId="2" fillId="2" borderId="0" xfId="2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3" fillId="0" borderId="0" xfId="5" applyFont="1" applyAlignment="1">
      <alignment horizontal="center"/>
    </xf>
    <xf numFmtId="0" fontId="5" fillId="0" borderId="0" xfId="0" applyFont="1"/>
    <xf numFmtId="0" fontId="8" fillId="0" borderId="0" xfId="5" applyFont="1" applyAlignment="1">
      <alignment wrapText="1"/>
    </xf>
    <xf numFmtId="0" fontId="2" fillId="0" borderId="0" xfId="0" applyFont="1" applyAlignment="1">
      <alignment wrapText="1"/>
    </xf>
    <xf numFmtId="0" fontId="8" fillId="0" borderId="0" xfId="5" applyFont="1" applyAlignment="1">
      <alignment horizontal="center" vertical="top" wrapText="1"/>
    </xf>
    <xf numFmtId="0" fontId="3" fillId="0" borderId="0" xfId="5" applyFont="1" applyAlignment="1">
      <alignment horizontal="center" wrapText="1"/>
    </xf>
    <xf numFmtId="0" fontId="8" fillId="0" borderId="0" xfId="5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2" fillId="0" borderId="0" xfId="5" applyFont="1" applyAlignment="1" applyProtection="1">
      <alignment horizontal="left" vertical="top"/>
      <protection locked="0"/>
    </xf>
    <xf numFmtId="0" fontId="2" fillId="0" borderId="0" xfId="4" applyFont="1" applyAlignment="1">
      <alignment horizontal="center" vertical="center"/>
    </xf>
    <xf numFmtId="0" fontId="2" fillId="0" borderId="0" xfId="5" applyFont="1" applyAlignment="1">
      <alignment horizontal="center" wrapText="1"/>
    </xf>
    <xf numFmtId="0" fontId="2" fillId="0" borderId="0" xfId="5" applyFont="1"/>
    <xf numFmtId="44" fontId="2" fillId="0" borderId="0" xfId="0" applyNumberFormat="1" applyFont="1" applyAlignment="1">
      <alignment horizontal="right"/>
    </xf>
    <xf numFmtId="0" fontId="3" fillId="0" borderId="6" xfId="5" applyFont="1" applyBorder="1" applyAlignment="1">
      <alignment horizontal="center" vertical="center"/>
    </xf>
    <xf numFmtId="0" fontId="3" fillId="0" borderId="1" xfId="5" applyFont="1" applyBorder="1" applyAlignment="1">
      <alignment horizontal="center" vertical="center"/>
    </xf>
    <xf numFmtId="0" fontId="3" fillId="0" borderId="3" xfId="5" applyFont="1" applyBorder="1" applyAlignment="1">
      <alignment horizontal="center" vertical="center"/>
    </xf>
    <xf numFmtId="0" fontId="3" fillId="2" borderId="8" xfId="0" applyFont="1" applyFill="1" applyBorder="1"/>
    <xf numFmtId="0" fontId="3" fillId="2" borderId="7" xfId="0" applyFont="1" applyFill="1" applyBorder="1" applyAlignment="1">
      <alignment horizontal="center" vertical="center"/>
    </xf>
    <xf numFmtId="0" fontId="3" fillId="0" borderId="4" xfId="5" applyFont="1" applyBorder="1" applyAlignment="1">
      <alignment horizontal="left" vertical="top"/>
    </xf>
    <xf numFmtId="0" fontId="3" fillId="0" borderId="2" xfId="5" applyFont="1" applyBorder="1" applyAlignment="1">
      <alignment horizontal="left" vertical="top"/>
    </xf>
    <xf numFmtId="0" fontId="3" fillId="3" borderId="7" xfId="0" applyFont="1" applyFill="1" applyBorder="1" applyAlignment="1">
      <alignment horizontal="center" vertical="center"/>
    </xf>
    <xf numFmtId="170" fontId="2" fillId="2" borderId="0" xfId="2" applyNumberFormat="1" applyFont="1" applyFill="1" applyBorder="1" applyAlignment="1">
      <alignment vertical="center"/>
    </xf>
    <xf numFmtId="170" fontId="2" fillId="2" borderId="0" xfId="2" applyNumberFormat="1" applyFont="1" applyFill="1" applyBorder="1" applyAlignment="1">
      <alignment horizontal="right" vertical="center"/>
    </xf>
    <xf numFmtId="172" fontId="2" fillId="2" borderId="0" xfId="2" applyNumberFormat="1" applyFont="1" applyFill="1" applyBorder="1"/>
    <xf numFmtId="173" fontId="3" fillId="0" borderId="6" xfId="2" applyNumberFormat="1" applyFont="1" applyFill="1" applyBorder="1" applyAlignment="1">
      <alignment horizontal="right" vertical="center"/>
    </xf>
    <xf numFmtId="174" fontId="2" fillId="0" borderId="0" xfId="7" applyNumberFormat="1" applyFont="1" applyAlignment="1">
      <alignment horizontal="right" vertical="center"/>
    </xf>
    <xf numFmtId="174" fontId="2" fillId="0" borderId="0" xfId="0" applyNumberFormat="1" applyFont="1" applyAlignment="1">
      <alignment horizontal="right"/>
    </xf>
    <xf numFmtId="175" fontId="2" fillId="2" borderId="0" xfId="2" applyNumberFormat="1" applyFont="1" applyFill="1" applyBorder="1" applyAlignment="1">
      <alignment horizontal="right" vertical="center"/>
    </xf>
    <xf numFmtId="175" fontId="2" fillId="2" borderId="0" xfId="0" applyNumberFormat="1" applyFont="1" applyFill="1" applyAlignment="1">
      <alignment horizontal="right" vertical="center"/>
    </xf>
    <xf numFmtId="176" fontId="2" fillId="2" borderId="0" xfId="0" applyNumberFormat="1" applyFont="1" applyFill="1" applyAlignment="1">
      <alignment horizontal="right" vertical="center"/>
    </xf>
    <xf numFmtId="169" fontId="2" fillId="0" borderId="0" xfId="7" applyNumberFormat="1" applyFont="1" applyAlignment="1">
      <alignment horizontal="center" vertical="center"/>
    </xf>
    <xf numFmtId="44" fontId="2" fillId="2" borderId="0" xfId="2" applyFont="1" applyFill="1" applyAlignment="1">
      <alignment horizontal="right" vertical="center"/>
    </xf>
    <xf numFmtId="169" fontId="2" fillId="0" borderId="0" xfId="0" applyNumberFormat="1" applyFont="1" applyAlignment="1">
      <alignment horizontal="center" vertical="center"/>
    </xf>
    <xf numFmtId="174" fontId="2" fillId="0" borderId="0" xfId="1" applyNumberFormat="1" applyFont="1" applyFill="1" applyBorder="1" applyAlignment="1">
      <alignment horizontal="center" vertical="center"/>
    </xf>
    <xf numFmtId="171" fontId="2" fillId="0" borderId="0" xfId="1" applyNumberFormat="1" applyFont="1" applyFill="1" applyBorder="1" applyAlignment="1">
      <alignment horizontal="center" vertical="center"/>
    </xf>
    <xf numFmtId="165" fontId="2" fillId="0" borderId="0" xfId="1" applyNumberFormat="1" applyFont="1" applyFill="1" applyBorder="1" applyAlignment="1">
      <alignment vertical="center"/>
    </xf>
    <xf numFmtId="0" fontId="3" fillId="0" borderId="0" xfId="5" applyFont="1" applyAlignment="1">
      <alignment horizontal="center" vertical="center"/>
    </xf>
    <xf numFmtId="165" fontId="2" fillId="0" borderId="0" xfId="1" applyNumberFormat="1" applyFont="1" applyFill="1" applyAlignment="1">
      <alignment vertical="center"/>
    </xf>
    <xf numFmtId="170" fontId="3" fillId="2" borderId="0" xfId="5" applyNumberFormat="1" applyFont="1" applyFill="1" applyAlignment="1">
      <alignment horizontal="right" vertical="center"/>
    </xf>
    <xf numFmtId="1" fontId="2" fillId="0" borderId="0" xfId="1" applyNumberFormat="1" applyFont="1" applyFill="1" applyBorder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64" fontId="5" fillId="4" borderId="4" xfId="1" applyFont="1" applyFill="1" applyBorder="1" applyAlignment="1">
      <alignment horizontal="left" vertical="top"/>
    </xf>
    <xf numFmtId="164" fontId="17" fillId="4" borderId="4" xfId="1" applyFont="1" applyFill="1" applyBorder="1" applyAlignment="1">
      <alignment horizontal="left" vertical="top"/>
    </xf>
    <xf numFmtId="0" fontId="2" fillId="0" borderId="0" xfId="6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2" fillId="2" borderId="0" xfId="0" applyFont="1" applyFill="1" applyAlignment="1">
      <alignment horizontal="center"/>
    </xf>
    <xf numFmtId="44" fontId="2" fillId="0" borderId="0" xfId="2" applyFont="1" applyFill="1" applyAlignment="1" applyProtection="1">
      <alignment vertical="center"/>
      <protection locked="0"/>
    </xf>
    <xf numFmtId="0" fontId="0" fillId="2" borderId="0" xfId="0" applyFill="1" applyAlignment="1">
      <alignment horizontal="center" vertical="center"/>
    </xf>
    <xf numFmtId="170" fontId="2" fillId="2" borderId="0" xfId="0" applyNumberFormat="1" applyFont="1" applyFill="1" applyAlignment="1">
      <alignment horizontal="right" vertical="center"/>
    </xf>
    <xf numFmtId="165" fontId="2" fillId="0" borderId="0" xfId="0" applyNumberFormat="1" applyFont="1" applyAlignment="1">
      <alignment vertical="center"/>
    </xf>
    <xf numFmtId="0" fontId="2" fillId="4" borderId="0" xfId="5" applyFont="1" applyFill="1" applyAlignment="1">
      <alignment horizontal="center" vertical="center" wrapText="1"/>
    </xf>
    <xf numFmtId="0" fontId="5" fillId="2" borderId="0" xfId="5" applyFont="1" applyFill="1" applyAlignment="1">
      <alignment horizontal="center" vertical="center" wrapText="1"/>
    </xf>
    <xf numFmtId="9" fontId="0" fillId="0" borderId="0" xfId="3" applyFont="1" applyAlignment="1">
      <alignment horizontal="center" vertical="center"/>
    </xf>
    <xf numFmtId="0" fontId="2" fillId="4" borderId="1" xfId="4" applyFont="1" applyFill="1" applyBorder="1"/>
    <xf numFmtId="177" fontId="2" fillId="4" borderId="1" xfId="2" applyNumberFormat="1" applyFont="1" applyFill="1" applyBorder="1" applyAlignment="1">
      <alignment horizontal="center" vertical="center"/>
    </xf>
    <xf numFmtId="177" fontId="2" fillId="2" borderId="1" xfId="2" applyNumberFormat="1" applyFont="1" applyFill="1" applyBorder="1" applyAlignment="1">
      <alignment horizontal="center" vertical="center"/>
    </xf>
    <xf numFmtId="178" fontId="2" fillId="2" borderId="0" xfId="2" applyNumberFormat="1" applyFont="1" applyFill="1" applyBorder="1" applyAlignment="1">
      <alignment horizontal="right" vertical="center"/>
    </xf>
    <xf numFmtId="177" fontId="2" fillId="2" borderId="1" xfId="0" applyNumberFormat="1" applyFont="1" applyFill="1" applyBorder="1" applyAlignment="1">
      <alignment horizontal="center" vertical="center"/>
    </xf>
    <xf numFmtId="0" fontId="5" fillId="0" borderId="0" xfId="5" applyFont="1" applyAlignment="1">
      <alignment horizontal="center" vertical="center" wrapText="1"/>
    </xf>
    <xf numFmtId="44" fontId="2" fillId="2" borderId="0" xfId="2" applyFont="1" applyFill="1" applyBorder="1" applyAlignment="1">
      <alignment horizontal="right" vertical="center"/>
    </xf>
    <xf numFmtId="170" fontId="2" fillId="0" borderId="0" xfId="0" applyNumberFormat="1" applyFont="1" applyAlignment="1">
      <alignment vertical="center"/>
    </xf>
    <xf numFmtId="44" fontId="2" fillId="0" borderId="0" xfId="2" applyFont="1" applyAlignment="1">
      <alignment horizontal="center" vertical="center"/>
    </xf>
    <xf numFmtId="169" fontId="2" fillId="0" borderId="0" xfId="0" applyNumberFormat="1" applyFont="1" applyAlignment="1">
      <alignment horizontal="center"/>
    </xf>
    <xf numFmtId="44" fontId="3" fillId="0" borderId="0" xfId="5" applyNumberFormat="1" applyFont="1"/>
    <xf numFmtId="174" fontId="2" fillId="0" borderId="0" xfId="1" applyNumberFormat="1" applyFont="1" applyFill="1" applyBorder="1" applyAlignment="1" applyProtection="1">
      <alignment horizontal="right" vertical="center"/>
      <protection locked="0"/>
    </xf>
    <xf numFmtId="174" fontId="2" fillId="0" borderId="0" xfId="0" applyNumberFormat="1" applyFont="1" applyAlignment="1">
      <alignment horizontal="right" vertical="center"/>
    </xf>
    <xf numFmtId="174" fontId="2" fillId="0" borderId="0" xfId="1" applyNumberFormat="1" applyFont="1" applyFill="1" applyBorder="1" applyAlignment="1" applyProtection="1">
      <alignment vertical="center"/>
      <protection locked="0"/>
    </xf>
    <xf numFmtId="174" fontId="2" fillId="0" borderId="0" xfId="0" applyNumberFormat="1" applyFont="1" applyAlignment="1">
      <alignment vertical="center"/>
    </xf>
    <xf numFmtId="0" fontId="2" fillId="0" borderId="0" xfId="0" applyFont="1" applyAlignment="1" applyProtection="1">
      <alignment horizontal="center" vertical="center"/>
      <protection locked="0"/>
    </xf>
    <xf numFmtId="178" fontId="2" fillId="2" borderId="0" xfId="0" applyNumberFormat="1" applyFont="1" applyFill="1" applyAlignment="1">
      <alignment horizontal="right" vertical="center"/>
    </xf>
    <xf numFmtId="174" fontId="2" fillId="0" borderId="0" xfId="0" applyNumberFormat="1" applyFont="1" applyAlignment="1" applyProtection="1">
      <alignment horizontal="right" vertical="center"/>
      <protection locked="0"/>
    </xf>
    <xf numFmtId="166" fontId="2" fillId="0" borderId="0" xfId="0" applyNumberFormat="1" applyFont="1" applyAlignment="1">
      <alignment horizontal="center" vertical="center"/>
    </xf>
    <xf numFmtId="171" fontId="2" fillId="0" borderId="0" xfId="0" applyNumberFormat="1" applyFont="1" applyAlignment="1">
      <alignment horizontal="center" vertical="center"/>
    </xf>
    <xf numFmtId="174" fontId="2" fillId="0" borderId="0" xfId="0" applyNumberFormat="1" applyFont="1" applyAlignment="1">
      <alignment horizontal="center" vertical="center"/>
    </xf>
    <xf numFmtId="172" fontId="2" fillId="2" borderId="0" xfId="0" applyNumberFormat="1" applyFont="1" applyFill="1"/>
    <xf numFmtId="173" fontId="3" fillId="0" borderId="6" xfId="0" applyNumberFormat="1" applyFont="1" applyBorder="1" applyAlignment="1">
      <alignment horizontal="right" vertical="center"/>
    </xf>
    <xf numFmtId="164" fontId="5" fillId="4" borderId="10" xfId="1" applyFont="1" applyFill="1" applyBorder="1" applyAlignment="1">
      <alignment horizontal="left" vertical="top"/>
    </xf>
    <xf numFmtId="164" fontId="17" fillId="4" borderId="10" xfId="1" applyFont="1" applyFill="1" applyBorder="1" applyAlignment="1">
      <alignment horizontal="left" vertical="top"/>
    </xf>
    <xf numFmtId="177" fontId="2" fillId="4" borderId="5" xfId="2" applyNumberFormat="1" applyFont="1" applyFill="1" applyBorder="1" applyAlignment="1">
      <alignment horizontal="center" vertical="center"/>
    </xf>
    <xf numFmtId="44" fontId="2" fillId="4" borderId="13" xfId="2" applyFont="1" applyFill="1" applyBorder="1" applyAlignment="1" applyProtection="1">
      <protection locked="0"/>
    </xf>
    <xf numFmtId="44" fontId="2" fillId="4" borderId="13" xfId="2" applyFont="1" applyFill="1" applyBorder="1" applyAlignment="1">
      <alignment horizontal="center" vertical="center"/>
    </xf>
    <xf numFmtId="0" fontId="3" fillId="0" borderId="4" xfId="12" applyFont="1" applyBorder="1" applyAlignment="1">
      <alignment horizontal="left" vertical="center"/>
    </xf>
    <xf numFmtId="0" fontId="3" fillId="0" borderId="10" xfId="12" applyFont="1" applyBorder="1" applyAlignment="1">
      <alignment horizontal="left" vertical="center"/>
    </xf>
    <xf numFmtId="0" fontId="3" fillId="0" borderId="5" xfId="12" applyFont="1" applyBorder="1" applyAlignment="1">
      <alignment horizontal="left" vertical="center"/>
    </xf>
    <xf numFmtId="0" fontId="3" fillId="0" borderId="4" xfId="12" applyFont="1" applyBorder="1" applyAlignment="1">
      <alignment horizontal="center" vertical="center"/>
    </xf>
    <xf numFmtId="0" fontId="3" fillId="0" borderId="10" xfId="12" applyFont="1" applyBorder="1" applyAlignment="1">
      <alignment horizontal="center" vertical="center"/>
    </xf>
    <xf numFmtId="0" fontId="3" fillId="0" borderId="5" xfId="12" applyFont="1" applyBorder="1" applyAlignment="1">
      <alignment horizontal="center" vertical="center"/>
    </xf>
    <xf numFmtId="0" fontId="3" fillId="0" borderId="1" xfId="12" applyFont="1" applyBorder="1" applyAlignment="1">
      <alignment horizontal="center" vertical="center"/>
    </xf>
    <xf numFmtId="164" fontId="5" fillId="4" borderId="4" xfId="1" applyFont="1" applyFill="1" applyBorder="1" applyAlignment="1">
      <alignment horizontal="left" vertical="top"/>
    </xf>
    <xf numFmtId="164" fontId="5" fillId="4" borderId="10" xfId="1" applyFont="1" applyFill="1" applyBorder="1" applyAlignment="1">
      <alignment horizontal="left" vertical="top"/>
    </xf>
    <xf numFmtId="164" fontId="18" fillId="4" borderId="4" xfId="1" applyFont="1" applyFill="1" applyBorder="1" applyAlignment="1">
      <alignment horizontal="left" vertical="top"/>
    </xf>
    <xf numFmtId="164" fontId="18" fillId="4" borderId="10" xfId="1" applyFont="1" applyFill="1" applyBorder="1" applyAlignment="1">
      <alignment horizontal="left" vertical="top"/>
    </xf>
    <xf numFmtId="164" fontId="2" fillId="5" borderId="4" xfId="1" applyFont="1" applyFill="1" applyBorder="1" applyAlignment="1">
      <alignment horizontal="left" vertical="top"/>
    </xf>
    <xf numFmtId="164" fontId="2" fillId="5" borderId="10" xfId="1" applyFont="1" applyFill="1" applyBorder="1" applyAlignment="1">
      <alignment horizontal="left" vertical="top"/>
    </xf>
    <xf numFmtId="44" fontId="2" fillId="5" borderId="13" xfId="2" applyFont="1" applyFill="1" applyBorder="1" applyAlignment="1" applyProtection="1">
      <protection locked="0"/>
    </xf>
    <xf numFmtId="44" fontId="2" fillId="5" borderId="14" xfId="2" applyFont="1" applyFill="1" applyBorder="1" applyAlignment="1" applyProtection="1">
      <protection locked="0"/>
    </xf>
    <xf numFmtId="177" fontId="2" fillId="5" borderId="5" xfId="2" applyNumberFormat="1" applyFont="1" applyFill="1" applyBorder="1" applyAlignment="1">
      <alignment horizontal="center" vertical="center"/>
    </xf>
    <xf numFmtId="177" fontId="2" fillId="5" borderId="1" xfId="2" applyNumberFormat="1" applyFont="1" applyFill="1" applyBorder="1" applyAlignment="1">
      <alignment horizontal="center" vertical="center"/>
    </xf>
    <xf numFmtId="0" fontId="2" fillId="5" borderId="1" xfId="4" applyFont="1" applyFill="1" applyBorder="1"/>
    <xf numFmtId="0" fontId="2" fillId="5" borderId="0" xfId="4" applyFont="1" applyFill="1"/>
    <xf numFmtId="44" fontId="2" fillId="5" borderId="17" xfId="2" applyFont="1" applyFill="1" applyBorder="1" applyAlignment="1" applyProtection="1">
      <protection locked="0"/>
    </xf>
    <xf numFmtId="44" fontId="2" fillId="5" borderId="18" xfId="2" applyFont="1" applyFill="1" applyBorder="1" applyAlignment="1" applyProtection="1">
      <protection locked="0"/>
    </xf>
    <xf numFmtId="164" fontId="19" fillId="5" borderId="4" xfId="1" applyFont="1" applyFill="1" applyBorder="1" applyAlignment="1">
      <alignment horizontal="left" vertical="center"/>
    </xf>
    <xf numFmtId="164" fontId="19" fillId="5" borderId="10" xfId="1" applyFont="1" applyFill="1" applyBorder="1" applyAlignment="1">
      <alignment horizontal="left" vertical="top"/>
    </xf>
    <xf numFmtId="44" fontId="2" fillId="5" borderId="15" xfId="2" applyFont="1" applyFill="1" applyBorder="1" applyAlignment="1" applyProtection="1">
      <protection locked="0"/>
    </xf>
    <xf numFmtId="44" fontId="2" fillId="5" borderId="16" xfId="2" applyFont="1" applyFill="1" applyBorder="1" applyAlignment="1" applyProtection="1">
      <protection locked="0"/>
    </xf>
    <xf numFmtId="44" fontId="2" fillId="5" borderId="10" xfId="2" applyFont="1" applyFill="1" applyBorder="1" applyAlignment="1" applyProtection="1">
      <protection locked="0"/>
    </xf>
    <xf numFmtId="44" fontId="2" fillId="5" borderId="5" xfId="2" applyFont="1" applyFill="1" applyBorder="1" applyAlignment="1" applyProtection="1">
      <protection locked="0"/>
    </xf>
    <xf numFmtId="0" fontId="10" fillId="5" borderId="0" xfId="4" applyFont="1" applyFill="1" applyAlignment="1">
      <alignment horizontal="left" vertical="top" wrapText="1"/>
    </xf>
    <xf numFmtId="0" fontId="2" fillId="5" borderId="0" xfId="4" applyFont="1" applyFill="1" applyAlignment="1">
      <alignment horizontal="left" vertical="top" wrapText="1"/>
    </xf>
    <xf numFmtId="0" fontId="2" fillId="5" borderId="0" xfId="4" applyFont="1" applyFill="1" applyAlignment="1">
      <alignment wrapText="1"/>
    </xf>
    <xf numFmtId="0" fontId="2" fillId="5" borderId="0" xfId="4" applyFont="1" applyFill="1" applyAlignment="1">
      <alignment horizontal="center" vertical="center"/>
    </xf>
    <xf numFmtId="0" fontId="5" fillId="5" borderId="11" xfId="5" applyFont="1" applyFill="1" applyBorder="1" applyAlignment="1">
      <alignment horizontal="center" vertical="center" wrapText="1"/>
    </xf>
    <xf numFmtId="0" fontId="5" fillId="5" borderId="12" xfId="5" applyFont="1" applyFill="1" applyBorder="1" applyAlignment="1">
      <alignment horizontal="center" vertical="center" wrapText="1"/>
    </xf>
    <xf numFmtId="0" fontId="5" fillId="5" borderId="5" xfId="5" applyFont="1" applyFill="1" applyBorder="1" applyAlignment="1">
      <alignment horizontal="center" vertical="center" wrapText="1"/>
    </xf>
    <xf numFmtId="0" fontId="5" fillId="5" borderId="1" xfId="5" applyFont="1" applyFill="1" applyBorder="1" applyAlignment="1">
      <alignment horizontal="center" vertical="center" wrapText="1"/>
    </xf>
    <xf numFmtId="0" fontId="5" fillId="5" borderId="17" xfId="5" applyFont="1" applyFill="1" applyBorder="1" applyAlignment="1">
      <alignment horizontal="center" vertical="center" wrapText="1"/>
    </xf>
    <xf numFmtId="0" fontId="5" fillId="5" borderId="18" xfId="5" applyFont="1" applyFill="1" applyBorder="1" applyAlignment="1">
      <alignment horizontal="center" vertical="center" wrapText="1"/>
    </xf>
    <xf numFmtId="164" fontId="5" fillId="5" borderId="4" xfId="1" applyFont="1" applyFill="1" applyBorder="1" applyAlignment="1">
      <alignment horizontal="left" vertical="center"/>
    </xf>
    <xf numFmtId="164" fontId="5" fillId="5" borderId="10" xfId="1" applyFont="1" applyFill="1" applyBorder="1" applyAlignment="1">
      <alignment horizontal="left" vertical="center"/>
    </xf>
    <xf numFmtId="165" fontId="2" fillId="5" borderId="11" xfId="1" applyNumberFormat="1" applyFont="1" applyFill="1" applyBorder="1" applyAlignment="1" applyProtection="1">
      <alignment horizontal="center" vertical="center"/>
      <protection locked="0"/>
    </xf>
    <xf numFmtId="165" fontId="2" fillId="5" borderId="12" xfId="1" applyNumberFormat="1" applyFont="1" applyFill="1" applyBorder="1" applyAlignment="1" applyProtection="1">
      <alignment horizontal="center" vertical="center"/>
      <protection locked="0"/>
    </xf>
    <xf numFmtId="0" fontId="3" fillId="6" borderId="4" xfId="12" applyFont="1" applyFill="1" applyBorder="1" applyAlignment="1">
      <alignment horizontal="center" vertical="center"/>
    </xf>
    <xf numFmtId="0" fontId="3" fillId="6" borderId="10" xfId="12" applyFont="1" applyFill="1" applyBorder="1" applyAlignment="1">
      <alignment horizontal="center" vertical="center"/>
    </xf>
    <xf numFmtId="0" fontId="3" fillId="6" borderId="5" xfId="12" applyFont="1" applyFill="1" applyBorder="1" applyAlignment="1">
      <alignment horizontal="center" vertical="center"/>
    </xf>
  </cellXfs>
  <cellStyles count="13">
    <cellStyle name="Comma" xfId="1" builtinId="3"/>
    <cellStyle name="Comma 6" xfId="11" xr:uid="{28CB743F-30E4-4C7A-BE93-5196429584D6}"/>
    <cellStyle name="Currency" xfId="2" builtinId="4"/>
    <cellStyle name="Hyperlink" xfId="8" builtinId="8"/>
    <cellStyle name="Normal" xfId="0" builtinId="0"/>
    <cellStyle name="Normal 2" xfId="5" xr:uid="{4A9C963D-54BD-492F-AF17-F08AD9972D36}"/>
    <cellStyle name="Normal 3" xfId="12" xr:uid="{3E13F444-2AAD-4DC6-B071-A75A8F7EC9C0}"/>
    <cellStyle name="Normal 4 2" xfId="9" xr:uid="{BF0D5E42-E115-4D38-AEF2-2F4F2396E0BF}"/>
    <cellStyle name="Normal 6" xfId="7" xr:uid="{9A8E6418-74C1-4C78-8DF5-EA85D533613C}"/>
    <cellStyle name="Normal 7" xfId="4" xr:uid="{88DCF696-637A-4B15-9D0B-E9FA19391E1B}"/>
    <cellStyle name="Normal 8" xfId="6" xr:uid="{990DAF55-FC90-4066-8073-12376D52B5A8}"/>
    <cellStyle name="Normal 9" xfId="10" xr:uid="{C888E549-745C-4301-B257-6EFD3797F127}"/>
    <cellStyle name="Percent" xfId="3" builtinId="5"/>
  </cellStyles>
  <dxfs count="35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rgb="FF000000"/>
          <bgColor rgb="FFF2F2F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strike val="0"/>
        <outline val="0"/>
        <shadow val="0"/>
        <vertAlign val="baseline"/>
        <sz val="12"/>
        <color auto="1"/>
        <name val="Aptos Narrow"/>
        <family val="2"/>
        <scheme val="minor"/>
      </font>
      <numFmt numFmtId="0" formatCode="General"/>
      <fill>
        <patternFill patternType="none">
          <fgColor rgb="FF000000"/>
          <bgColor auto="1"/>
        </patternFill>
      </fill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73" formatCode="0.00\ &quot;/Hour&quot;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173" formatCode="0.00\ &quot;/Hour&quot;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solid">
          <fgColor indexed="64"/>
          <bgColor theme="0" tint="-4.9989318521683403E-2"/>
        </patternFill>
      </fill>
      <border diagonalUp="0" diagonalDown="0" outline="0">
        <left/>
        <right/>
        <top style="thin">
          <color rgb="FF000000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font>
        <strike val="0"/>
        <outline val="0"/>
        <shadow val="0"/>
        <vertAlign val="baseline"/>
        <sz val="12"/>
        <color auto="1"/>
        <name val="Aptos Narrow"/>
        <family val="2"/>
        <scheme val="minor"/>
      </font>
      <fill>
        <patternFill patternType="solid">
          <fgColor rgb="FF000000"/>
          <bgColor rgb="FFF2F2F2"/>
        </patternFill>
      </fill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vertAlign val="baseline"/>
        <sz val="12"/>
        <color auto="1"/>
        <name val="Aptos Narrow"/>
        <family val="2"/>
        <scheme val="minor"/>
      </font>
      <numFmt numFmtId="0" formatCode="General"/>
      <fill>
        <patternFill patternType="none">
          <fgColor rgb="FF000000"/>
          <bgColor auto="1"/>
        </patternFill>
      </fill>
    </dxf>
    <dxf>
      <border outline="0"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ptos Narrow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2" formatCode="0.00\ &quot;/Tree&quot;"/>
      <fill>
        <patternFill patternType="solid">
          <fgColor indexed="64"/>
          <bgColor theme="0" tint="-4.9989318521683403E-2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2" formatCode="0.00\ &quot;/Tree&quot;"/>
      <fill>
        <patternFill patternType="solid">
          <fgColor indexed="64"/>
          <bgColor theme="0" tint="-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4" formatCode="0.0\ &quot;ha&quot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4" formatCode="0.0\ &quot;ha&quot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1" formatCode="0\ &quot;m3&quot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1" formatCode="0\ &quot;m3&quot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0" formatCode="0.00\ &quot;/m3&quot;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0" formatCode="0.00\ &quot;/m3&quot;"/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5" formatCode="#,##0\ &quot;m3&quot;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5" formatCode="#,##0\ &quot;m3&quot;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6" formatCode="0.0\ &quot;km&quot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166" formatCode="0.0\ &quot;km&quot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numFmt numFmtId="0" formatCode="General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0" formatCode="0.00\ &quot;/m3&quot;"/>
      <alignment horizontal="general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170" formatCode="0.00\ &quot;/m3&quot;"/>
      <fill>
        <patternFill patternType="solid">
          <fgColor indexed="64"/>
          <bgColor theme="0" tint="-4.9989318521683403E-2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5" formatCode="#,##0\ &quot;m3&quot;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5" formatCode="#,##0\ &quot;m3&quot;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9" formatCode="_(* #,##0_)&quot;m3&quot;;_(* \(#,##0\);_(* &quot;-&quot;??_);_(@_)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7" formatCode="#,##0\ &quot;km&quot;"/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167" formatCode="#,##0\ &quot;km&quot;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0" formatCode="0.00\ &quot;/m3&quot;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170" formatCode="0.00\ &quot;/m3&quot;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5" formatCode="#,##0\ &quot;m3&quot;"/>
      <alignment horizontal="general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165" formatCode="#,##0\ &quot;m3&quot;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3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0" formatCode="0.00\ &quot;/m3&quot;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170" formatCode="0.00\ &quot;/m3&quot;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5" formatCode="#,##0\ &quot;m3&quot;"/>
      <alignment horizontal="general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165" formatCode="#,##0\ &quot;m3&quot;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3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0" formatCode="General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5" formatCode="0.00\ &quot;/ha&quot;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175" formatCode="0.00\ &quot;/ha&quot;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4" formatCode="0.0\ &quot;ha&quot;"/>
      <alignment horizontal="right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174" formatCode="0.0\ &quot;ha&quot;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0" formatCode="General"/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2" formatCode="0.00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170" formatCode="0.00\ &quot;/m3&quot;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4" formatCode="0.0\ &quot;ha&quot;"/>
      <alignment horizontal="general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174" formatCode="0.0\ &quot;ha&quot;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0" formatCode="General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5" formatCode="0.00\ &quot;/ha&quot;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175" formatCode="0.00\ &quot;/ha&quot;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4" formatCode="0.0\ &quot;ha&quot;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0" hidden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174" formatCode="0.0\ &quot;ha&quot;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3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5" formatCode="0.00\ &quot;/ha&quot;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175" formatCode="0.00\ &quot;/ha&quot;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4" formatCode="0.0\ &quot;ha&quot;"/>
      <alignment horizontal="right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174" formatCode="0.0\ &quot;ha&quot;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3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0" formatCode="0.00\ &quot;/m3&quot;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170" formatCode="0.00\ &quot;/m3&quot;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3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top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0" formatCode="0.00\ &quot;/m3&quot;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z val="12"/>
        <color theme="1"/>
        <name val="Aptos Narrow"/>
        <family val="2"/>
        <scheme val="minor"/>
      </font>
      <numFmt numFmtId="170" formatCode="0.00\ &quot;/m3&quot;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alignment horizontal="general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numFmt numFmtId="3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ill>
        <patternFill patternType="solid">
          <fgColor indexed="64"/>
          <bgColor theme="0" tint="-4.9989318521683403E-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6" formatCode="0.00\ &quot;/Unit&quot;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176" formatCode="0.00\ &quot;/Unit&quot;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169" formatCode="General\ &quot;m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169" formatCode="General\ &quot;m&quot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69" formatCode="General\ &quot;m&quot;"/>
      <alignment horizontal="center" vertical="bottom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169" formatCode="General\ &quot;m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169" formatCode="General\ &quot;m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169" formatCode="General\ &quot;m&quot;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8" formatCode="0.00\ &quot;/m&quot;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178" formatCode="0.00\ &quot;/m&quot;"/>
      <fill>
        <patternFill patternType="solid">
          <fgColor indexed="64"/>
          <bgColor theme="0" tint="-4.9989318521683403E-2"/>
        </patternFill>
      </fill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" formatCode="0"/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9" formatCode="_(* #,##0_)&quot;m3&quot;;_(* \(#,##0\);_(* &quot;-&quot;??_);_(@_)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7" formatCode="#,##0.00_ &quot;/m3&quot;\ ;[Red]\-#,##0.00\ &quot;/m3&quot;\ ;&quot;-&quot;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7" formatCode="#,##0.00_ &quot;/m3&quot;\ ;[Red]\-#,##0.00\ &quot;/m3&quot;\ ;&quot;-&quot;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7" formatCode="#,##0.00_ &quot;/m3&quot;\ ;[Red]\-#,##0.00\ &quot;/m3&quot;\ ;&quot;-&quot;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177" formatCode="#,##0.00_ &quot;/m3&quot;\ ;[Red]\-#,##0.00\ &quot;/m3&quot;\ ;&quot;-&quot;"/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righ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</dxf>
    <dxf>
      <font>
        <strike val="0"/>
        <outline val="0"/>
        <shadow val="0"/>
        <vertAlign val="baseline"/>
        <sz val="12"/>
        <name val="Aptos Narrow"/>
        <family val="2"/>
        <scheme val="minor"/>
      </font>
      <alignment horizontal="center" vertical="center" textRotation="0" wrapText="1" indent="0" justifyLastLine="0" shrinkToFit="0" readingOrder="0"/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fill>
        <patternFill>
          <bgColor theme="0" tint="-4.9989318521683403E-2"/>
        </patternFill>
      </fill>
      <border>
        <top style="thin">
          <color theme="1"/>
        </top>
      </border>
    </dxf>
    <dxf>
      <font>
        <b/>
        <i val="0"/>
        <color theme="1"/>
      </font>
      <fill>
        <patternFill>
          <bgColor theme="0" tint="-4.9989318521683403E-2"/>
        </patternFill>
      </fill>
      <border>
        <bottom style="thin">
          <color theme="1"/>
        </bottom>
      </border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Log Cost Survey" defaultPivotStyle="PivotStyleLight16">
    <tableStyle name="Log Cost Survey" pivot="0" count="7" xr9:uid="{8D79FD42-DE4F-4601-99EA-660440FF94E4}">
      <tableStyleElement type="wholeTable" dxfId="351"/>
      <tableStyleElement type="headerRow" dxfId="350"/>
      <tableStyleElement type="totalRow" dxfId="349"/>
      <tableStyleElement type="firstColumn" dxfId="348"/>
      <tableStyleElement type="lastColumn" dxfId="347"/>
      <tableStyleElement type="firstRowStripe" dxfId="346"/>
      <tableStyleElement type="firstColumnStripe" dxfId="34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D0C7B922-BAFD-4800-AE95-785B40F08880}" name="FMA" displayName="FMA" ref="A3:E13" totalsRowCount="1" headerRowDxfId="344" dataDxfId="343" totalsRowDxfId="342">
  <tableColumns count="5">
    <tableColumn id="2" xr3:uid="{33318F54-BB91-49D7-9EE6-4EEDB97B5286}" name="Category" dataDxfId="341" totalsRowDxfId="340"/>
    <tableColumn id="1" xr3:uid="{22CEAAE1-39F5-4E82-88F9-3634DAF30AA2}" name="Regular Crown Land" dataDxfId="339" totalsRowDxfId="338"/>
    <tableColumn id="6" xr3:uid="{D08B2C92-1329-4537-8FAF-26AD23990F00}" name="Total Cost ($)" totalsRowFunction="sum" dataDxfId="337" totalsRowDxfId="336" dataCellStyle="Currency"/>
    <tableColumn id="8" xr3:uid="{B016C128-BA12-47E4-9F5D-8586E52B518A}" name="$/m3 " totalsRowFunction="sum" dataDxfId="335" totalsRowDxfId="334" dataCellStyle="Currency">
      <calculatedColumnFormula>IFERROR(FMA[[#This Row],[Total Cost ($)]]/TDLC!$C$4,)</calculatedColumnFormula>
    </tableColumn>
    <tableColumn id="9" xr3:uid="{B7CC4361-3D5D-4388-9518-BBDE4550913B}" name="Comments" dataDxfId="333" totalsRowDxfId="332"/>
  </tableColumns>
  <tableStyleInfo name="Log Cost Survey" showFirstColumn="0" showLastColumn="0" showRowStripes="0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254BFAC5-4790-4654-93E0-F80E258F09A3}" name="RDC" displayName="RDC" ref="A3:K14" totalsRowCount="1" headerRowDxfId="169" dataDxfId="168" totalsRowDxfId="167">
  <tableColumns count="11">
    <tableColumn id="1" xr3:uid="{243FD03D-A4EB-482F-9806-E897AC3AADBE}" name="Identifier" dataDxfId="166" totalsRowDxfId="165"/>
    <tableColumn id="14" xr3:uid="{F5845FC3-6C92-41FC-A41E-AA8740BEF808}" name="Average Slope (%)" dataDxfId="164" totalsRowDxfId="163"/>
    <tableColumn id="11" xr3:uid="{F2927194-FC38-4673-9B9D-32198D02EBCB}" name="Stems per Hectare by Diameter Class &lt;30 cm" dataDxfId="162" totalsRowDxfId="161"/>
    <tableColumn id="2" xr3:uid="{DD78929E-2684-415F-8111-B7275CEE1400}" name="Stems per Hectare by Diameter Class 30-40 cm" dataDxfId="160" totalsRowDxfId="159"/>
    <tableColumn id="12" xr3:uid="{1DBEAF74-76FC-4048-8C09-567D77E10919}" name="Stems per Hectare by Diameter Class 40-50 cm" dataDxfId="158" totalsRowDxfId="157"/>
    <tableColumn id="3" xr3:uid="{A379B43E-A344-466C-82C2-C84FC0B2CAF4}" name="Stems per Hectare by Diameter Class 50-60 cm" dataDxfId="156" totalsRowDxfId="155"/>
    <tableColumn id="28" xr3:uid="{FC47AB27-22F8-44D5-85FC-D3A09208ACCF}" name="Stems per Hectare by Diameter Class 60+ cm" dataDxfId="154" totalsRowDxfId="153"/>
    <tableColumn id="8" xr3:uid="{DFCE1816-251C-4EAB-A12F-BFB114B01D02}" name="Cost ($)" totalsRowFunction="sum" dataDxfId="152" totalsRowDxfId="151"/>
    <tableColumn id="9" xr3:uid="{31F1CEAF-1866-4A55-952D-5467B5743B26}" name="Area (ha)" totalsRowFunction="sum" dataDxfId="150" totalsRowDxfId="149"/>
    <tableColumn id="27" xr3:uid="{4CC18DD8-FC82-479C-B564-D8B9F5CEED7E}" name="$/ha" totalsRowFunction="custom" dataDxfId="148" totalsRowDxfId="147" dataCellStyle="Currency">
      <calculatedColumnFormula>IFERROR(RDC[[#This Row],[Cost ($)]]/RDC[[#This Row],[Area (ha)]],)</calculatedColumnFormula>
      <totalsRowFormula>IFERROR(RDC[[#Totals],[Cost ($)]]/RDC[[#Totals],[Area (ha)]],)</totalsRowFormula>
    </tableColumn>
    <tableColumn id="29" xr3:uid="{37EA9E48-6D68-492A-81DB-9F92668E0A33}" name="Comments" dataDxfId="146" totalsRowDxfId="145"/>
  </tableColumns>
  <tableStyleInfo name="Log Cost Survey" showFirstColumn="0" showLastColumn="0" showRowStripes="0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7C9CD98-4070-44C8-B231-A735BE673F71}" name="CLTBRN" displayName="CLTBRN" ref="A3:I14" totalsRowCount="1" headerRowDxfId="144" dataDxfId="143" totalsRowDxfId="142">
  <tableColumns count="9">
    <tableColumn id="2" xr3:uid="{C7642717-CBBE-48F6-83E5-4F1EFD15F35E}" name="Identifier" dataDxfId="141" totalsRowDxfId="140"/>
    <tableColumn id="3" xr3:uid="{4741525E-BDE9-46BB-89AC-9CCE6C47AE69}" name="Prescription" dataDxfId="139" totalsRowDxfId="138"/>
    <tableColumn id="6" xr3:uid="{5BC946CF-F63E-4656-9FD9-3F16A665F5AE}" name="Prescription and Planning ($)" totalsRowFunction="sum" dataDxfId="137" totalsRowDxfId="136"/>
    <tableColumn id="1" xr3:uid="{F98F92D6-8D0B-4FD4-A7BA-50BFAD95A8B6}" name="Burning ($)" totalsRowFunction="sum" dataDxfId="135" totalsRowDxfId="134" dataCellStyle="Currency"/>
    <tableColumn id="11" xr3:uid="{96C82C7C-FE70-42F3-92BF-9E6F5F2DC938}" name="Mop-up, Monitor ($)" totalsRowFunction="sum" dataDxfId="133" totalsRowDxfId="132" dataCellStyle="Currency"/>
    <tableColumn id="10" xr3:uid="{A3BADC96-0A9B-4CDD-B853-9B38EC7BC947}" name="Total Cost ($)" totalsRowFunction="sum" dataDxfId="131" totalsRowDxfId="130" dataCellStyle="Currency">
      <calculatedColumnFormula>SUM(CLTBRN[[#This Row],[Prescription and Planning ($)]:[Mop-up, Monitor ($)]])</calculatedColumnFormula>
    </tableColumn>
    <tableColumn id="5" xr3:uid="{6C4414DF-D660-4A34-ADA4-CF0694280A02}" name="Treatment Area (ha)" totalsRowFunction="sum" dataDxfId="129" totalsRowDxfId="128" dataCellStyle="Normal 6"/>
    <tableColumn id="8" xr3:uid="{CF8D2A23-B257-4D30-805B-58659088345B}" name="$/Ha" totalsRowFunction="custom" dataDxfId="127" totalsRowDxfId="126" dataCellStyle="Currency" totalsRowCellStyle="Currency">
      <calculatedColumnFormula>IFERROR(CLTBRN[[#This Row],[Total Cost ($)]]/CLTBRN[[#This Row],[Treatment Area (ha)]],)</calculatedColumnFormula>
      <totalsRowFormula>IFERROR(CLTBRN[[#Totals],[Total Cost ($)]]/CLTBRN[[#Totals],[Treatment Area (ha)]],)</totalsRowFormula>
    </tableColumn>
    <tableColumn id="9" xr3:uid="{867C790C-5BA7-4F6E-BD2E-3AD013C4BBE0}" name="Comments" dataDxfId="125" totalsRowDxfId="124"/>
  </tableColumns>
  <tableStyleInfo name="Log Cost Survey" showFirstColumn="0" showLastColumn="0" showRowStripes="0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7153D7E-B2A1-41C7-8C85-9507761F6272}" name="HARVEST" displayName="HARVEST" ref="A3:J11" totalsRowCount="1" headerRowDxfId="123" dataDxfId="122" totalsRowDxfId="121">
  <tableColumns count="10">
    <tableColumn id="2" xr3:uid="{852E9D7E-6176-4A93-B5D2-B74F86BA2FBB}" name="Identifier" dataDxfId="120" totalsRowDxfId="119"/>
    <tableColumn id="5" xr3:uid="{630208FD-7198-47BB-909B-6746E37D86A2}" name="Regular Crown Land" dataDxfId="118" totalsRowDxfId="117"/>
    <tableColumn id="3" xr3:uid="{0D10F66F-6CDA-4500-B2DC-F0281913AB32}" name="Harvest System" dataDxfId="116" totalsRowDxfId="115"/>
    <tableColumn id="10" xr3:uid="{E8336A95-F937-45AD-BE12-DF3CC748749A}" name="% if not 100% of the Volume" dataDxfId="114"/>
    <tableColumn id="4" xr3:uid="{AFF49106-BD3F-418F-8436-82DE1163CDEF}" name="Heli Drop Area" dataDxfId="113" totalsRowDxfId="112"/>
    <tableColumn id="1" xr3:uid="{9B080181-86BC-4FC5-B94B-E52AA2B56A80}" name="Skyline Distance (m)" dataDxfId="111" totalsRowDxfId="110"/>
    <tableColumn id="6" xr3:uid="{FD476492-8358-4700-86D2-4625A25F783B}" name="Cost ($)" totalsRowFunction="sum" dataDxfId="109" totalsRowDxfId="108"/>
    <tableColumn id="7" xr3:uid="{9FD6E3D1-F7D4-4793-BFCD-702CECC35984}" name="Harvest Volume (m3)" totalsRowFunction="sum" dataDxfId="107" totalsRowDxfId="106" dataCellStyle="Comma"/>
    <tableColumn id="8" xr3:uid="{B3BD3EDF-27C7-4A9B-929E-0215A9D02CC3}" name="$/m3 " totalsRowFunction="custom" dataDxfId="105" totalsRowDxfId="104">
      <calculatedColumnFormula>IFERROR(HARVEST[[#This Row],[Cost ($)]]/HARVEST[[#This Row],[Harvest Volume (m3)]],)</calculatedColumnFormula>
      <totalsRowFormula>IFERROR(HARVEST[[#Totals],[Cost ($)]]/HARVEST[[#Totals],[Harvest Volume (m3)]],)</totalsRowFormula>
    </tableColumn>
    <tableColumn id="9" xr3:uid="{BD222396-EF10-4B71-B270-303FB4113557}" name="Comments" dataDxfId="103" totalsRowDxfId="102"/>
  </tableColumns>
  <tableStyleInfo name="Log Cost Survey" showFirstColumn="0" showLastColumn="0" showRowStripes="0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8A30C3F0-5568-4A18-9AF8-78F5EFA457B9}" name="HARVEST2" displayName="HARVEST2" ref="A13:J22" totalsRowCount="1" headerRowDxfId="101" dataDxfId="100" totalsRowDxfId="99">
  <tableColumns count="10">
    <tableColumn id="2" xr3:uid="{E995D035-0FAB-4622-987A-4C4E5CEA2E75}" name="Identifier" dataDxfId="98" totalsRowDxfId="97"/>
    <tableColumn id="5" xr3:uid="{730C1374-A9AE-4C3E-A5E6-1D195E41E668}" name="Clayoquot, Haida Gwaii, Great Bear, or other Special Use Area" dataDxfId="96" totalsRowDxfId="95" dataCellStyle="Normal 2"/>
    <tableColumn id="3" xr3:uid="{D0A778F0-5C5A-4FFC-922F-FBCB4BEB7D4B}" name="Harvest System" dataDxfId="94" totalsRowDxfId="93"/>
    <tableColumn id="10" xr3:uid="{DB690F27-B24B-425B-B072-A0CE3274D371}" name="% if not 100% of the Volume"/>
    <tableColumn id="4" xr3:uid="{E8C3BE59-9713-4BB9-A643-20EC55D2BC72}" name="Heli Drop Area" dataDxfId="92" totalsRowDxfId="91"/>
    <tableColumn id="1" xr3:uid="{7821F582-E3EA-4B7C-8F30-894EF4E0BAC5}" name="Skyline Distance (m)" dataDxfId="90" totalsRowDxfId="89"/>
    <tableColumn id="6" xr3:uid="{9D09B7C6-6032-49EB-A210-D1E0AF4010BA}" name="Cost ($)" totalsRowFunction="sum" dataDxfId="88" totalsRowDxfId="87"/>
    <tableColumn id="7" xr3:uid="{44D339F7-56AE-43C6-B546-BBFA0D303F2B}" name="Harvest Volume (m3)" totalsRowFunction="sum" dataDxfId="86" totalsRowDxfId="85" dataCellStyle="Comma"/>
    <tableColumn id="8" xr3:uid="{5B08795D-7FA9-49E5-BAA4-49B379756641}" name="$/m3 " totalsRowFunction="custom" dataDxfId="84" totalsRowDxfId="83">
      <calculatedColumnFormula>IFERROR(HARVEST2[[#This Row],[Cost ($)]]/HARVEST2[[#This Row],[Harvest Volume (m3)]],)</calculatedColumnFormula>
      <totalsRowFormula>IFERROR(HARVEST2[[#Totals],[Cost ($)]]/HARVEST2[[#Totals],[Harvest Volume (m3)]],)</totalsRowFormula>
    </tableColumn>
    <tableColumn id="9" xr3:uid="{A9971D9D-90D4-4DFD-B6C0-39455951D7CF}" name="Comments" dataDxfId="82" totalsRowDxfId="81"/>
  </tableColumns>
  <tableStyleInfo name="Log Cost Survey" showFirstColumn="0" showLastColumn="0" showRowStripes="0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7971379-8817-434D-81D8-3AC5837CCC54}" name="BRGTW" displayName="BRGTW" ref="A3:J14" totalsRowCount="1" headerRowDxfId="80" dataDxfId="79" totalsRowDxfId="78">
  <tableColumns count="10">
    <tableColumn id="3" xr3:uid="{C1C2D239-43EF-4EF9-B2CB-471E02572F97}" name="Identifier" dataDxfId="77" totalsRowDxfId="76" dataCellStyle="Normal 2"/>
    <tableColumn id="2" xr3:uid="{5018B5A0-3726-4145-96BD-A65D3FE92F71}" name="Towing or Barging" dataDxfId="75" totalsRowDxfId="74"/>
    <tableColumn id="6" xr3:uid="{CB83A027-D920-4E70-9FC3-7A193BF68B22}" name="Point of Origin" dataDxfId="73" totalsRowDxfId="72" dataCellStyle="Normal 2"/>
    <tableColumn id="11" xr3:uid="{3230A384-1211-4612-ADAA-7180554A2341}" name="Local Tie-up Grounds" dataDxfId="71" totalsRowDxfId="70"/>
    <tableColumn id="5" xr3:uid="{F8C3494E-5EDA-4DFC-AD1E-09DA10971F2E}" name="Destination" dataDxfId="69" totalsRowDxfId="68"/>
    <tableColumn id="4" xr3:uid="{F4E6259B-B19C-4A10-B726-424A17F4EB49}" name="One Way Distance (km)" dataDxfId="67" totalsRowDxfId="66" dataCellStyle="Comma"/>
    <tableColumn id="7" xr3:uid="{E7776887-FC21-451A-8DDC-6E96CEFFFF31}" name="Total ($)" totalsRowFunction="sum" dataDxfId="65" totalsRowDxfId="64" dataCellStyle="Currency"/>
    <tableColumn id="8" xr3:uid="{F0B411D2-C0A4-465A-9C2E-46252F04694B}" name="Crown Volume (m3)" totalsRowFunction="sum" dataDxfId="63" totalsRowDxfId="62" dataCellStyle="Comma"/>
    <tableColumn id="9" xr3:uid="{1F0C834D-76BC-4C92-8869-81A13762599B}" name="$/m3 " totalsRowFunction="custom" dataDxfId="61" totalsRowDxfId="60" dataCellStyle="Currency">
      <calculatedColumnFormula>IFERROR(BRGTW[[#This Row],[Total ($)]]/BRGTW[[#This Row],[Crown Volume (m3)]],)</calculatedColumnFormula>
      <totalsRowFormula>IFERROR(BRGTW[[#Totals],[Total ($)]]/BRGTW[[#Totals],[Crown Volume (m3)]],)</totalsRowFormula>
    </tableColumn>
    <tableColumn id="10" xr3:uid="{715ECE59-3F9F-4A69-96B0-895A05109A0A}" name="Comments" dataDxfId="59" totalsRowDxfId="58"/>
  </tableColumns>
  <tableStyleInfo name="Log Cost Survey" showFirstColumn="0" showLastColumn="0" showRowStripes="0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20C5AF6-2F3D-4AEB-8829-7D194FDC10A9}" name="INLNDWTR" displayName="INLNDWTR" ref="A3:H14" totalsRowCount="1" headerRowDxfId="57" dataDxfId="56" totalsRowDxfId="55">
  <tableColumns count="8">
    <tableColumn id="1" xr3:uid="{32500773-447D-496E-8AFF-38C5F3614A19}" name="Identifier" dataDxfId="54" totalsRowDxfId="53"/>
    <tableColumn id="2" xr3:uid="{A1DC2990-87CD-43F6-955A-09347BFD27DD}" name="Lake Name" dataDxfId="52" totalsRowDxfId="51"/>
    <tableColumn id="3" xr3:uid="{E203E8AD-E12E-42DB-98BA-27C558B14C04}" name="One Way Distance Towed (km)" dataDxfId="50" totalsRowDxfId="49" dataCellStyle="Comma"/>
    <tableColumn id="5" xr3:uid="{F88B5D06-2BA9-4F47-9B2C-0E1D0BDF85DD}" name="Activity" dataDxfId="48" totalsRowDxfId="47"/>
    <tableColumn id="6" xr3:uid="{BFFE9D7B-6784-4B0D-98A2-0161A07CCBAB}" name="Total ($)" totalsRowFunction="sum" dataDxfId="46" totalsRowDxfId="45" dataCellStyle="Currency"/>
    <tableColumn id="7" xr3:uid="{C999C556-2C38-4787-BDA8-B68478146679}" name="Crown Volume (m3)" totalsRowFunction="sum" dataDxfId="44" totalsRowDxfId="43" dataCellStyle="Comma"/>
    <tableColumn id="8" xr3:uid="{8C569D3D-DCFE-457F-8DCE-97D31538246B}" name="$/m3 " totalsRowFunction="custom" dataDxfId="42" totalsRowDxfId="41" dataCellStyle="Comma">
      <calculatedColumnFormula>IFERROR(INLNDWTR[[#This Row],[Total ($)]]/INLNDWTR[[#This Row],[Crown Volume (m3)]],)</calculatedColumnFormula>
      <totalsRowFormula>IFERROR(INLNDWTR[[#Totals],[Total ($)]]/INLNDWTR[[#Totals],[Crown Volume (m3)]],)</totalsRowFormula>
    </tableColumn>
    <tableColumn id="9" xr3:uid="{069D389B-D0A1-423B-A563-F912AF77A84E}" name="Comments" dataDxfId="40" totalsRowDxfId="39"/>
  </tableColumns>
  <tableStyleInfo name="Log Cost Survey" showFirstColumn="0" showLastColumn="0" showRowStripes="0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9FDB8896-7E33-4DFE-9651-A7AEA116D78E}" name="CRNMOD" displayName="CRNMOD" ref="A3:H14" totalsRowCount="1" headerRowDxfId="38" dataDxfId="37" totalsRowDxfId="36">
  <tableColumns count="8">
    <tableColumn id="2" xr3:uid="{DACD6300-F553-4A14-BFE3-9EF1F8DD5B8F}" name="Identifier" dataDxfId="35" totalsRowDxfId="34"/>
    <tableColumn id="3" xr3:uid="{6409E03F-9727-4D9C-88FB-8DD2EF0AFA96}" name="Old Growth / Second Growth" dataDxfId="33" totalsRowDxfId="32"/>
    <tableColumn id="5" xr3:uid="{5FB73D02-0993-4807-9ED5-F1823BFD4B4F}" name="Harvest Area Volume (m3)" totalsRowFunction="sum" dataDxfId="31" totalsRowDxfId="30" dataCellStyle="Comma"/>
    <tableColumn id="6" xr3:uid="{7380F28D-1EFC-48F3-883A-0299B6FCBCE0}" name="Harvest Area Treated (ha)" totalsRowFunction="sum" dataDxfId="29" totalsRowDxfId="28" dataCellStyle="Comma"/>
    <tableColumn id="7" xr3:uid="{DE1ED4EC-79E2-4A91-B59D-925BD905F7CB}" name="Cost ($)" totalsRowFunction="sum" dataDxfId="27" totalsRowDxfId="26" dataCellStyle="Currency"/>
    <tableColumn id="8" xr3:uid="{70515D7A-60E7-434A-BCC4-3FBAB53BB9F3}" name="Number of Trees Treated" totalsRowFunction="sum" dataDxfId="25" totalsRowDxfId="24" dataCellStyle="Normal 6"/>
    <tableColumn id="9" xr3:uid="{45E85839-03DA-44D9-8DE8-9B623D5D1F63}" name="$/Tree" totalsRowFunction="custom" dataDxfId="23" totalsRowDxfId="22" dataCellStyle="Currency">
      <calculatedColumnFormula>IFERROR(CRNMOD[[#This Row],[Cost ($)]]/CRNMOD[[#This Row],[Number of Trees Treated]],)</calculatedColumnFormula>
      <totalsRowFormula>IFERROR(CRNMOD[[#Totals],[Cost ($)]]/CRNMOD[[#Totals],[Number of Trees Treated]],)</totalsRowFormula>
    </tableColumn>
    <tableColumn id="10" xr3:uid="{0324F39B-D0B0-4B80-959F-15A6F5186829}" name="Comments" dataDxfId="21" totalsRowDxfId="20"/>
  </tableColumns>
  <tableStyleInfo name="Log Cost Survey" showFirstColumn="0" showLastColumn="0" showRowStripes="0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8E70A24-EFE6-4AEC-8FA6-28C4DEA082D5}" name="LOWBD" displayName="LOWBD" ref="A3:G14" totalsRowCount="1" headerRowDxfId="19" dataDxfId="17" totalsRowDxfId="15" headerRowBorderDxfId="18" tableBorderDxfId="16" totalsRowBorderDxfId="14">
  <tableColumns count="7">
    <tableColumn id="2" xr3:uid="{EC91E026-2D5B-4699-AB13-6E3BC854AB3B}" name="Type" dataDxfId="13" totalsRowDxfId="12"/>
    <tableColumn id="3" xr3:uid="{8DB6EEE6-96AB-4AF0-A387-2A7D0083214B}" name="Maximum Capacity" dataDxfId="11" totalsRowDxfId="10"/>
    <tableColumn id="4" xr3:uid="{BB5CA44C-21EC-42D7-97CB-FB979BE59B68}" name="Manufacturer" dataDxfId="9" totalsRowDxfId="8"/>
    <tableColumn id="5" xr3:uid="{288039B3-E183-4308-99C3-ABF51BF2DC75}" name="Model Year" dataDxfId="7" totalsRowDxfId="6" dataCellStyle="Percent"/>
    <tableColumn id="6" xr3:uid="{C50CAE22-4DB2-40E0-85AA-42F0DA518CAF}" name="Model Name" dataDxfId="5" totalsRowDxfId="4" dataCellStyle="Currency"/>
    <tableColumn id="9" xr3:uid="{8EE47F1A-E1F5-4ABA-834B-837FBC140881}" name="$/Hour" dataDxfId="3" totalsRowDxfId="2" dataCellStyle="Currency" totalsRowCellStyle="Currency"/>
    <tableColumn id="10" xr3:uid="{11748D9E-25E5-415C-823E-591DD80FC158}" name="Comments" dataDxfId="1" totalsRowDxfId="0"/>
  </tableColumns>
  <tableStyleInfo name="Log Cost Survey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4ADE980-1C9D-4287-86BF-FD9D489C5252}" name="FMA_2" displayName="FMA_2" ref="A16:E26" totalsRowCount="1" headerRowDxfId="331" dataDxfId="330" totalsRowDxfId="329">
  <tableColumns count="5">
    <tableColumn id="2" xr3:uid="{1BB6B1CF-B522-498B-A4BB-938EFC03D99B}" name="Category" dataDxfId="328" totalsRowDxfId="327"/>
    <tableColumn id="1" xr3:uid="{6598B7D0-9ED7-47E9-A2AF-86DB36F08D45}" name="Clayoquot, Haida Gwaii, Great Bear, or other Special Use Area" dataDxfId="326" totalsRowDxfId="325"/>
    <tableColumn id="6" xr3:uid="{2FC1D126-B82B-44AD-B4C2-634C4AF0A279}" name="Total Cost ($)" totalsRowFunction="sum" dataDxfId="324" totalsRowDxfId="323" dataCellStyle="Currency"/>
    <tableColumn id="8" xr3:uid="{6589748A-38FA-4B8B-9415-97A3E627DF4D}" name="$/m3 " totalsRowFunction="sum" dataDxfId="322" totalsRowDxfId="321" dataCellStyle="Currency">
      <calculatedColumnFormula>IFERROR(FMA_2[[#This Row],[Total Cost ($)]]/TDLC!$D$4,)</calculatedColumnFormula>
    </tableColumn>
    <tableColumn id="9" xr3:uid="{CC0048F8-63D9-47E4-951D-0BEDFD58F590}" name="Comments" dataDxfId="320" totalsRowDxfId="319"/>
  </tableColumns>
  <tableStyleInfo name="Log Cost Survey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ECA868C4-DECA-4592-8F5F-578AE3FE7C79}" name="ROAD" displayName="ROAD" ref="A3:K12" totalsRowCount="1" headerRowDxfId="318" dataDxfId="317" totalsRowDxfId="316">
  <tableColumns count="11">
    <tableColumn id="3" xr3:uid="{B0E8B9A6-04F1-499A-BD5E-E484107C03DD}" name="Identifier" dataDxfId="315" totalsRowDxfId="314" dataCellStyle="Normal 2"/>
    <tableColumn id="6" xr3:uid="{341BAA43-877E-4E5B-96A4-1FD2DA0339E4}" name="Point of Origin Area" dataDxfId="313" totalsRowDxfId="312" dataCellStyle="Normal 2"/>
    <tableColumn id="14" xr3:uid="{A4B93ECF-5299-4239-A46A-72BD77552D88}" name="Timber Supply Block or Tree Farm License/Block" dataDxfId="311" totalsRowDxfId="310"/>
    <tableColumn id="11" xr3:uid="{F838B205-54FF-4FAA-B3CD-98916AA02709}" name="Isolated or Accessable" dataDxfId="309" totalsRowDxfId="308" dataCellStyle="Normal 8"/>
    <tableColumn id="2" xr3:uid="{421BAF6B-5008-406C-A911-AD652F73858D}" name="Bank Height Construction Category" dataDxfId="307" totalsRowDxfId="306"/>
    <tableColumn id="12" xr3:uid="{021A7C85-99C6-4DBA-B258-DC2CC5978305}" name="Rock Hardness" dataDxfId="305" totalsRowDxfId="304"/>
    <tableColumn id="13" xr3:uid="{215859BB-3748-4CF7-AA74-D5A532F2C8DF}" name="Ballast Haul Distance (km)" dataDxfId="303" totalsRowDxfId="302" dataCellStyle="Percent"/>
    <tableColumn id="7" xr3:uid="{2F4FABB6-D882-42D4-BB34-BC324E0F4B63}" name="Cost ($)" totalsRowFunction="sum" dataDxfId="301" totalsRowDxfId="300" dataCellStyle="Currency"/>
    <tableColumn id="4" xr3:uid="{0F08B3D7-0F71-45A7-B050-02D58E06C800}" name="Length (m)" totalsRowFunction="sum" dataDxfId="299" totalsRowDxfId="298" dataCellStyle="Comma"/>
    <tableColumn id="9" xr3:uid="{7C824025-3939-4712-93CD-7A94910538C7}" name="$/m" totalsRowFunction="custom" dataDxfId="297" totalsRowDxfId="296" dataCellStyle="Currency">
      <calculatedColumnFormula>IFERROR(ROAD[[#This Row],[Cost ($)]]/ROAD[[#This Row],[Length (m)]],)</calculatedColumnFormula>
      <totalsRowFormula>IFERROR(ROAD[[#Totals],[Cost ($)]]/ROAD[[#Totals],[Length (m)]],)</totalsRowFormula>
    </tableColumn>
    <tableColumn id="10" xr3:uid="{9FBFADF6-BE0D-4042-A14D-38E719D8EA36}" name="Comments" dataDxfId="295" totalsRowDxfId="294"/>
  </tableColumns>
  <tableStyleInfo name="Log Cost Survey" showFirstColumn="0" showLastColumn="0" showRowStripes="0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DF1E5C6-C308-4984-B5C5-569BF2F02B28}" name="BRDG" displayName="BRDG" ref="A3:M14" totalsRowCount="1" headerRowDxfId="293" dataDxfId="292" totalsRowDxfId="291">
  <tableColumns count="13">
    <tableColumn id="2" xr3:uid="{C8C6C24A-2439-4E22-8EE9-464492045C3B}" name="Identifier" dataDxfId="290" totalsRowDxfId="289"/>
    <tableColumn id="4" xr3:uid="{23C2046F-DA18-43C1-A43C-0E7E951072FB}" name="Bridge Type" dataDxfId="288" totalsRowDxfId="287"/>
    <tableColumn id="9" xr3:uid="{77E1A099-D1E1-4E55-985B-DE57020D378D}" name="Design Load Capacity Rating" dataDxfId="286" totalsRowDxfId="285"/>
    <tableColumn id="10" xr3:uid="{96DFEB30-DF1B-491A-9FE9-024E5130F535}" name="Span Material" dataDxfId="284" totalsRowDxfId="283"/>
    <tableColumn id="11" xr3:uid="{63CD1C43-776A-43BC-8644-A846C010BE7F}" name="Span Length (m) " dataDxfId="282" totalsRowDxfId="281"/>
    <tableColumn id="12" xr3:uid="{3E7D71CC-6B9E-4C24-AB0A-853B919EF5F5}" name="Deck Material" dataDxfId="280" totalsRowDxfId="279"/>
    <tableColumn id="13" xr3:uid="{B06C519F-FF34-4169-B238-506182832F03}" name="Deck Width (m)" dataDxfId="278" totalsRowDxfId="277"/>
    <tableColumn id="14" xr3:uid="{BBB83D6A-3531-44E2-A448-57B355468BF0}" name="Abutment Material" dataDxfId="276" totalsRowDxfId="275"/>
    <tableColumn id="15" xr3:uid="{B091FDF3-80C5-44F6-9A95-C05C23AC7BB8}" name="Abutment Height (m) " totalsRowFunction="sum" dataDxfId="274" totalsRowDxfId="273"/>
    <tableColumn id="16" xr3:uid="{BC67AEC7-8418-4285-96D9-CA84BF5A612A}" name="Material Cost ($)" totalsRowFunction="sum" dataDxfId="272" totalsRowDxfId="271" dataCellStyle="Currency"/>
    <tableColumn id="17" xr3:uid="{4297F9AB-0467-444A-AD36-6483F71BD18E}" name="Installation Cost ($)" totalsRowFunction="sum" dataDxfId="270" totalsRowDxfId="269" dataCellStyle="Currency"/>
    <tableColumn id="18" xr3:uid="{2714AB41-DCCF-4CBE-80EA-3000E89B17E5}" name="Total Bridge Cost ($)" totalsRowFunction="sum" dataDxfId="268" totalsRowDxfId="267" dataCellStyle="Currency">
      <calculatedColumnFormula>SUM(BRDG[[#This Row],[Material Cost ($)]:[Installation Cost ($)]])</calculatedColumnFormula>
    </tableColumn>
    <tableColumn id="19" xr3:uid="{D3C03667-F73E-454C-AC00-C300BDEC01F6}" name="Comments" dataDxfId="266" totalsRowDxfId="265"/>
  </tableColumns>
  <tableStyleInfo name="Log Cost Survey" showFirstColumn="0" showLastColumn="0" showRowStripes="0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162485-E727-4DE6-90E4-1C7E7D413F22}" name="CLVRT" displayName="CLVRT" ref="A3:J14" totalsRowCount="1" headerRowDxfId="264" dataDxfId="263" totalsRowDxfId="262">
  <tableColumns count="10">
    <tableColumn id="2" xr3:uid="{A5B59AC8-23BC-434E-9587-C8B26FAEED5D}" name="Identifier" dataDxfId="261" totalsRowDxfId="260"/>
    <tableColumn id="3" xr3:uid="{CCCA6EA5-4675-4E24-8DFB-1AD0FA440A84}" name="Type" dataDxfId="259" totalsRowDxfId="258"/>
    <tableColumn id="4" xr3:uid="{BB4A2B4C-F2D9-4314-9EE0-C3A83D0514EB}" name="Height / or Diameter (m)" dataDxfId="257" totalsRowDxfId="256"/>
    <tableColumn id="5" xr3:uid="{17E65E3D-E83A-4558-B93A-ADBC41CD6C66}" name="Culvert Length  (m)" dataDxfId="255" totalsRowDxfId="254"/>
    <tableColumn id="6" xr3:uid="{79CCE475-A522-47C6-8195-F1B16CC63B96}" name="Total Material Cost ($)" totalsRowFunction="sum" dataDxfId="253" totalsRowDxfId="252"/>
    <tableColumn id="1" xr3:uid="{7D147357-515E-4038-8FAC-2D16138F570D}" name="Total Install Cost ($)" totalsRowFunction="sum" dataDxfId="251" totalsRowDxfId="250" dataCellStyle="Currency"/>
    <tableColumn id="10" xr3:uid="{EAA3AB1C-78A0-44BF-8864-606952578732}" name="Total Cost ($)" totalsRowFunction="sum" dataDxfId="249" totalsRowDxfId="248" dataCellStyle="Currency"/>
    <tableColumn id="7" xr3:uid="{4FC2E02C-F7DA-44FE-842A-837FCD744F1B}" name="Number of Culverts" totalsRowFunction="sum" dataDxfId="247" totalsRowDxfId="246" dataCellStyle="Normal 6"/>
    <tableColumn id="8" xr3:uid="{2D1A567F-0C62-40CB-9DAD-4EDF441B6730}" name="$/Unit" totalsRowFunction="custom" dataDxfId="245" totalsRowDxfId="244" dataCellStyle="Currency">
      <calculatedColumnFormula>IFERROR(CLVRT[[#This Row],[Total Cost ($)]]/CLVRT[[#This Row],[Number of Culverts]],)</calculatedColumnFormula>
      <totalsRowFormula>IFERROR(CLVRT[[#Totals],[Total Cost ($)]]/CLVRT[[#Totals],[Number of Culverts]],)</totalsRowFormula>
    </tableColumn>
    <tableColumn id="9" xr3:uid="{C4C47337-99D1-440D-AB63-C12F16599E8C}" name="Comments" dataDxfId="243" totalsRowDxfId="242"/>
  </tableColumns>
  <tableStyleInfo name="Log Cost Survey" showFirstColumn="0" showLastColumn="0" showRowStripes="0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4344A46-9DF5-4A58-B9C5-2ABE00E5D443}" name="RDMGT" displayName="RDMGT" ref="A3:F8" totalsRowCount="1" headerRowDxfId="241" dataDxfId="240" totalsRowDxfId="239">
  <tableColumns count="6">
    <tableColumn id="2" xr3:uid="{22C02BBA-590D-45D2-9859-E16A7A4BB7DB}" name="District" dataDxfId="238" totalsRowDxfId="237"/>
    <tableColumn id="3" xr3:uid="{E886B4F2-1E7D-400A-9DCF-35E52CC90269}" name="Regular Crown Land" dataDxfId="236" totalsRowDxfId="235"/>
    <tableColumn id="1" xr3:uid="{45539A3B-6269-4842-A6FB-C7D14EF4DB30}" name="Category" dataDxfId="234" totalsRowDxfId="233" dataCellStyle="Normal 2"/>
    <tableColumn id="4" xr3:uid="{1E19E075-08AA-4B9F-8DC6-2CD9F4A9B727}" name="Cost ($)" totalsRowFunction="sum" dataDxfId="232" totalsRowDxfId="231"/>
    <tableColumn id="6" xr3:uid="{72C3DB7B-4BB4-46A6-B530-6DC36ABB0997}" name="$/m3 " totalsRowFunction="custom" dataDxfId="230" totalsRowDxfId="229" dataCellStyle="Currency" totalsRowCellStyle="Currency">
      <calculatedColumnFormula>IFERROR(RDMGT[[#This Row],[Cost ($)]]/TDLC!$C$4,)</calculatedColumnFormula>
      <totalsRowFormula>IFERROR(RDMGT[[#Totals],[Cost ($)]]/TDLC!$C$4,)</totalsRowFormula>
    </tableColumn>
    <tableColumn id="7" xr3:uid="{BA2B7700-9E6F-4377-9B00-47BB40EB0583}" name="Comments" dataDxfId="228" totalsRowDxfId="227"/>
  </tableColumns>
  <tableStyleInfo name="Log Cost Survey" showFirstColumn="0" showLastColumn="0" showRowStripes="0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0086AAA-B0AF-4D0E-936E-B83A51487552}" name="RDMGT2" displayName="RDMGT2" ref="A11:F17" totalsRowCount="1" headerRowDxfId="226" dataDxfId="225" totalsRowDxfId="224">
  <tableColumns count="6">
    <tableColumn id="2" xr3:uid="{430DA89B-0D00-4654-AADE-C71072738673}" name="District" dataDxfId="223" totalsRowDxfId="222"/>
    <tableColumn id="3" xr3:uid="{5000E137-ACB4-4C11-863E-26031A53C8AE}" name="Clayoquot, Haida Gwaii, Great Bear, or other Special Use Area" dataDxfId="221" totalsRowDxfId="220" dataCellStyle="Normal 2"/>
    <tableColumn id="1" xr3:uid="{587DA3EF-E4A7-4C38-B680-AB46E8565E5B}" name="Category" dataDxfId="219" totalsRowDxfId="218" dataCellStyle="Normal 2"/>
    <tableColumn id="4" xr3:uid="{967C43C7-B391-42F0-A2E9-C75A073691EF}" name="Cost ($)" totalsRowFunction="sum" dataDxfId="217" totalsRowDxfId="216"/>
    <tableColumn id="6" xr3:uid="{E57A0970-B34D-46B3-9730-5A3E7D2B91B9}" name="$/m3 " totalsRowFunction="custom" dataDxfId="215" totalsRowDxfId="214" dataCellStyle="Currency">
      <calculatedColumnFormula>IFERROR(RDMGT2[[#This Row],[Cost ($)]]/TDLC!$D$4,)</calculatedColumnFormula>
      <totalsRowFormula>IFERROR(RDMGT2[[#Totals],[Cost ($)]]/TDLC!$D$4,)</totalsRowFormula>
    </tableColumn>
    <tableColumn id="7" xr3:uid="{ED6ECBD4-4C48-453A-B1E6-AAA3EE4FB936}" name="Comments" dataDxfId="213" totalsRowDxfId="212"/>
  </tableColumns>
  <tableStyleInfo name="Log Cost Survey" showFirstColumn="0" showLastColumn="0" showRowStripes="0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B5FFF07-2F7B-4CA0-99C6-635EF3153472}" name="SILV" displayName="SILV" ref="A3:I9" totalsRowCount="1" headerRowDxfId="211" dataDxfId="210" totalsRowDxfId="209">
  <tableColumns count="9">
    <tableColumn id="2" xr3:uid="{7F36F000-7BD7-428B-B286-682347744136}" name="RESULTS_x000a_Silviculture Activity" dataDxfId="208" totalsRowDxfId="207"/>
    <tableColumn id="5" xr3:uid="{4FC66C4C-CDDF-490F-824C-E3921622736E}" name="Regular Crown Land" dataDxfId="206" totalsRowDxfId="205"/>
    <tableColumn id="3" xr3:uid="{80FEEB14-CC00-41AA-BCC4-5F0A5DCB9D40}" name="Biogeoclimatic Variant" dataDxfId="204" totalsRowDxfId="203"/>
    <tableColumn id="1" xr3:uid="{9F5874B1-8506-42CE-9DBD-7668BAD8988B}" name="Silviculture System" dataDxfId="202" totalsRowDxfId="201" dataCellStyle="Normal 8"/>
    <tableColumn id="4" xr3:uid="{CEB61109-27EA-4060-997D-AE2B179B458F}" name="Isolated (Yes/No)" dataDxfId="200" totalsRowDxfId="199"/>
    <tableColumn id="6" xr3:uid="{1284DAE7-BA6A-4EE8-828E-C17E7EC0703D}" name="Cost ($)" totalsRowFunction="sum" dataDxfId="198" totalsRowDxfId="197"/>
    <tableColumn id="7" xr3:uid="{0CDE41BE-15DD-4FE7-A7FA-7EE1944E29AD}" name="Area (ha)" totalsRowFunction="sum" dataDxfId="196" totalsRowDxfId="195"/>
    <tableColumn id="8" xr3:uid="{70F4632D-C968-430B-9891-9F1CE7FD2CCB}" name="$/Hectare" totalsRowFunction="custom" dataDxfId="194" totalsRowDxfId="193" dataCellStyle="Currency">
      <calculatedColumnFormula>IFERROR(SILV[[#This Row],[Cost ($)]]/SILV[[#This Row],[Area (ha)]],)</calculatedColumnFormula>
      <totalsRowFormula>IFERROR(SILV[[#Totals],[Cost ($)]]/SILV[[#Totals],[Area (ha)]],)</totalsRowFormula>
    </tableColumn>
    <tableColumn id="9" xr3:uid="{F743C2C6-6DE3-4A0C-A6CE-CC2F9F2B2CBC}" name="Comments" dataDxfId="192" totalsRowDxfId="191"/>
  </tableColumns>
  <tableStyleInfo name="Log Cost Survey" showFirstColumn="0" showLastColumn="0" showRowStripes="0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555EB8C-BC9F-4EC8-98C6-3FA1748F59D1}" name="SILV9" displayName="SILV9" ref="A11:I17" totalsRowCount="1" headerRowDxfId="190" dataDxfId="189" totalsRowDxfId="188" headerRowCellStyle="Normal 2">
  <tableColumns count="9">
    <tableColumn id="2" xr3:uid="{3ACB19C5-3C33-4E4E-BB52-11AA75A31519}" name="RESULTS_x000a_Silviculture Activity" dataDxfId="187" totalsRowDxfId="186"/>
    <tableColumn id="5" xr3:uid="{3A1FA442-3E50-4366-98BE-FA1867B3D2B9}" name="Clayoquot, Haida Gwaii, Great Bear, or other Special Use Area" dataDxfId="185" totalsRowDxfId="184" dataCellStyle="Normal 8"/>
    <tableColumn id="3" xr3:uid="{B8866F77-0B6F-4A1F-882A-7A61A1D410C3}" name="Biogeoclimatic Variant" dataDxfId="183" totalsRowDxfId="182"/>
    <tableColumn id="1" xr3:uid="{35A46460-A9E4-4675-8803-D959DB19A3E8}" name="Silviculture System" dataDxfId="181" totalsRowDxfId="180" dataCellStyle="Normal 8"/>
    <tableColumn id="4" xr3:uid="{33D49C49-D528-483F-887B-C6C20FDE0501}" name="Isolated (Yes/No)" dataDxfId="179" totalsRowDxfId="178"/>
    <tableColumn id="6" xr3:uid="{B67EC7CF-C683-4FD6-93C0-A1CFC9788D67}" name="Cost ($)" totalsRowFunction="sum" dataDxfId="177" totalsRowDxfId="176"/>
    <tableColumn id="7" xr3:uid="{2C5EF64A-CD08-458D-B09D-8F4B8744B9BC}" name="Area (ha)" totalsRowFunction="sum" dataDxfId="175" totalsRowDxfId="174" dataCellStyle="Comma"/>
    <tableColumn id="8" xr3:uid="{409E3D40-CF14-472C-A6D5-699D3C3F9DD4}" name="$/Hectare" totalsRowFunction="custom" dataDxfId="173" totalsRowDxfId="172" dataCellStyle="Currency">
      <calculatedColumnFormula>IFERROR(SILV9[[#This Row],[Cost ($)]]/SILV9[[#This Row],[Area (ha)]],)</calculatedColumnFormula>
      <totalsRowFormula>IFERROR(SILV9[[#Totals],[Cost ($)]]/SILV9[[#Totals],[Area (ha)]],)</totalsRowFormula>
    </tableColumn>
    <tableColumn id="9" xr3:uid="{52D31A20-6706-4770-AF1B-C0EA3937545F}" name="Comments" dataDxfId="171" totalsRowDxfId="170"/>
  </tableColumns>
  <tableStyleInfo name="Log Cost Survey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2.gov.bc.ca/gov/content/industry/forestry/competitive-forest-industry/timber-pricing/coast-timber-pricing/coast-crown-tenure-mgmt-cost-survey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6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2C384-1324-4195-927F-D24E341C28D8}">
  <sheetPr>
    <tabColor theme="0" tint="-0.499984740745262"/>
    <pageSetUpPr autoPageBreaks="0" fitToPage="1"/>
  </sheetPr>
  <dimension ref="A1:N25"/>
  <sheetViews>
    <sheetView showGridLines="0" tabSelected="1" zoomScale="130" zoomScaleNormal="130" workbookViewId="0">
      <selection activeCell="H7" sqref="H7"/>
    </sheetView>
  </sheetViews>
  <sheetFormatPr defaultColWidth="7.77734375" defaultRowHeight="15.75" customHeight="1" x14ac:dyDescent="0.3"/>
  <cols>
    <col min="1" max="1" width="18.21875" style="30" customWidth="1"/>
    <col min="2" max="6" width="10.44140625" style="30" customWidth="1"/>
    <col min="7" max="7" width="7" style="30" customWidth="1"/>
    <col min="8" max="8" width="13.5546875" style="30" customWidth="1"/>
    <col min="9" max="18" width="10.44140625" style="30" customWidth="1"/>
    <col min="19" max="16384" width="7.77734375" style="30"/>
  </cols>
  <sheetData>
    <row r="1" spans="1:14" ht="15.75" customHeight="1" x14ac:dyDescent="0.3">
      <c r="A1" s="58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</row>
    <row r="2" spans="1:14" ht="15.75" customHeight="1" x14ac:dyDescent="0.3">
      <c r="A2" s="58" t="s">
        <v>294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</row>
    <row r="3" spans="1:14" ht="15.75" customHeight="1" x14ac:dyDescent="0.3">
      <c r="A3" s="59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</row>
    <row r="4" spans="1:14" ht="15.75" customHeight="1" x14ac:dyDescent="0.3">
      <c r="A4" s="58" t="s">
        <v>1</v>
      </c>
      <c r="B4" s="190" t="s">
        <v>2</v>
      </c>
      <c r="C4" s="191"/>
      <c r="D4" s="191"/>
      <c r="E4" s="191"/>
      <c r="F4" s="192"/>
      <c r="G4" s="56"/>
      <c r="H4" s="57" t="s">
        <v>3</v>
      </c>
      <c r="I4" s="149" t="s">
        <v>4</v>
      </c>
      <c r="J4" s="150"/>
      <c r="K4" s="150"/>
      <c r="L4" s="150"/>
      <c r="M4" s="151"/>
      <c r="N4" s="56"/>
    </row>
    <row r="5" spans="1:14" ht="15.75" customHeight="1" x14ac:dyDescent="0.3">
      <c r="A5" s="59"/>
      <c r="B5" s="56"/>
      <c r="C5" s="56"/>
      <c r="D5" s="56"/>
      <c r="E5" s="56"/>
      <c r="F5" s="56"/>
      <c r="G5" s="56"/>
      <c r="H5" s="56"/>
      <c r="I5" s="59"/>
      <c r="J5" s="59"/>
      <c r="K5" s="59"/>
      <c r="L5" s="59"/>
      <c r="M5" s="59"/>
      <c r="N5" s="56"/>
    </row>
    <row r="6" spans="1:14" ht="15.75" customHeight="1" x14ac:dyDescent="0.3">
      <c r="A6" s="58" t="s">
        <v>5</v>
      </c>
      <c r="B6" s="190" t="s">
        <v>6</v>
      </c>
      <c r="C6" s="192"/>
      <c r="D6" s="56"/>
      <c r="E6" s="190" t="s">
        <v>7</v>
      </c>
      <c r="F6" s="192"/>
      <c r="G6" s="56"/>
      <c r="H6" s="56"/>
      <c r="I6" s="149" t="s">
        <v>8</v>
      </c>
      <c r="J6" s="150"/>
      <c r="K6" s="150"/>
      <c r="L6" s="150"/>
      <c r="M6" s="151"/>
      <c r="N6" s="56"/>
    </row>
    <row r="7" spans="1:14" ht="15.75" customHeight="1" x14ac:dyDescent="0.3">
      <c r="A7" s="59"/>
      <c r="B7" s="56"/>
      <c r="C7" s="56"/>
      <c r="D7" s="56"/>
      <c r="E7" s="56"/>
      <c r="F7" s="56"/>
      <c r="G7" s="56"/>
      <c r="H7" s="56"/>
      <c r="I7" s="59"/>
      <c r="J7" s="59"/>
      <c r="K7" s="59"/>
      <c r="L7" s="59"/>
      <c r="M7" s="59"/>
      <c r="N7" s="56"/>
    </row>
    <row r="8" spans="1:14" ht="15.75" customHeight="1" x14ac:dyDescent="0.3">
      <c r="A8" s="58" t="s">
        <v>9</v>
      </c>
      <c r="B8" s="152" t="s">
        <v>10</v>
      </c>
      <c r="C8" s="153"/>
      <c r="D8" s="153"/>
      <c r="E8" s="153"/>
      <c r="F8" s="154"/>
      <c r="G8" s="56"/>
      <c r="H8" s="56"/>
      <c r="I8" s="149" t="s">
        <v>11</v>
      </c>
      <c r="J8" s="150"/>
      <c r="K8" s="150"/>
      <c r="L8" s="150"/>
      <c r="M8" s="151"/>
      <c r="N8" s="56"/>
    </row>
    <row r="9" spans="1:14" ht="15.75" customHeight="1" x14ac:dyDescent="0.3">
      <c r="A9" s="59"/>
      <c r="B9" s="152" t="s">
        <v>10</v>
      </c>
      <c r="C9" s="153"/>
      <c r="D9" s="153"/>
      <c r="E9" s="153"/>
      <c r="F9" s="154"/>
      <c r="G9" s="56"/>
      <c r="H9" s="56"/>
      <c r="I9" s="59"/>
      <c r="J9" s="59"/>
      <c r="K9" s="59"/>
      <c r="L9" s="59"/>
      <c r="M9" s="59"/>
      <c r="N9" s="56"/>
    </row>
    <row r="10" spans="1:14" ht="15.75" customHeight="1" x14ac:dyDescent="0.3">
      <c r="B10" s="152" t="s">
        <v>10</v>
      </c>
      <c r="C10" s="153"/>
      <c r="D10" s="153"/>
      <c r="E10" s="153"/>
      <c r="F10" s="154"/>
      <c r="G10" s="56"/>
      <c r="H10" s="57" t="s">
        <v>12</v>
      </c>
      <c r="I10" s="149" t="s">
        <v>4</v>
      </c>
      <c r="J10" s="150"/>
      <c r="K10" s="150"/>
      <c r="L10" s="150"/>
      <c r="M10" s="151"/>
      <c r="N10" s="56"/>
    </row>
    <row r="11" spans="1:14" ht="15.75" customHeight="1" x14ac:dyDescent="0.3">
      <c r="G11" s="56"/>
      <c r="H11" s="56"/>
      <c r="I11" s="59"/>
      <c r="J11" s="59"/>
      <c r="K11" s="59"/>
      <c r="L11" s="59"/>
      <c r="M11" s="59"/>
      <c r="N11" s="56"/>
    </row>
    <row r="12" spans="1:14" ht="15.75" customHeight="1" x14ac:dyDescent="0.3">
      <c r="A12" s="58" t="s">
        <v>13</v>
      </c>
      <c r="B12" s="155" t="s">
        <v>14</v>
      </c>
      <c r="C12" s="155"/>
      <c r="D12" s="155"/>
      <c r="E12" s="155"/>
      <c r="F12" s="155"/>
      <c r="G12" s="56"/>
      <c r="H12" s="56"/>
      <c r="I12" s="149" t="s">
        <v>8</v>
      </c>
      <c r="J12" s="150"/>
      <c r="K12" s="150"/>
      <c r="L12" s="150"/>
      <c r="M12" s="151"/>
      <c r="N12" s="56"/>
    </row>
    <row r="13" spans="1:14" ht="15.75" customHeight="1" x14ac:dyDescent="0.3">
      <c r="A13" s="59"/>
      <c r="B13" s="152" t="s">
        <v>14</v>
      </c>
      <c r="C13" s="153"/>
      <c r="D13" s="153"/>
      <c r="E13" s="153"/>
      <c r="F13" s="154"/>
      <c r="G13" s="56"/>
      <c r="H13" s="56"/>
      <c r="I13" s="59"/>
      <c r="J13" s="59"/>
      <c r="K13" s="59"/>
      <c r="L13" s="59"/>
      <c r="M13" s="59"/>
      <c r="N13" s="56"/>
    </row>
    <row r="14" spans="1:14" ht="15.75" customHeight="1" x14ac:dyDescent="0.3">
      <c r="A14" s="59"/>
      <c r="B14" s="152" t="s">
        <v>14</v>
      </c>
      <c r="C14" s="153"/>
      <c r="D14" s="153"/>
      <c r="E14" s="153"/>
      <c r="F14" s="154"/>
      <c r="G14" s="56"/>
      <c r="H14" s="56"/>
      <c r="I14" s="149" t="s">
        <v>11</v>
      </c>
      <c r="J14" s="150"/>
      <c r="K14" s="150"/>
      <c r="L14" s="150"/>
      <c r="M14" s="151"/>
      <c r="N14" s="56"/>
    </row>
    <row r="15" spans="1:14" ht="15.75" customHeight="1" x14ac:dyDescent="0.3">
      <c r="G15" s="56"/>
      <c r="H15" s="56"/>
      <c r="I15" s="56"/>
      <c r="J15" s="56"/>
      <c r="K15" s="56"/>
      <c r="L15" s="56"/>
      <c r="M15" s="56"/>
      <c r="N15" s="56"/>
    </row>
    <row r="16" spans="1:14" ht="15.75" customHeight="1" x14ac:dyDescent="0.3">
      <c r="A16" s="59"/>
      <c r="B16" s="56"/>
      <c r="C16" s="56"/>
      <c r="D16" s="56"/>
      <c r="E16" s="56"/>
      <c r="F16" s="56"/>
      <c r="G16" s="56"/>
      <c r="H16" s="56"/>
      <c r="I16" s="56"/>
      <c r="J16" s="56"/>
      <c r="K16" s="56"/>
      <c r="L16" s="56"/>
      <c r="M16" s="56"/>
      <c r="N16" s="56"/>
    </row>
    <row r="17" spans="1:14" ht="15.75" customHeight="1" x14ac:dyDescent="0.3">
      <c r="A17" s="58" t="s">
        <v>15</v>
      </c>
      <c r="B17" s="152" t="s">
        <v>16</v>
      </c>
      <c r="C17" s="153"/>
      <c r="D17" s="153"/>
      <c r="E17" s="153"/>
      <c r="F17" s="154"/>
      <c r="G17" s="56"/>
      <c r="H17" s="152" t="s">
        <v>17</v>
      </c>
      <c r="I17" s="153"/>
      <c r="J17" s="153"/>
      <c r="K17" s="153"/>
      <c r="L17" s="153"/>
      <c r="M17" s="154"/>
      <c r="N17" s="56"/>
    </row>
    <row r="18" spans="1:14" ht="15.75" customHeight="1" x14ac:dyDescent="0.3">
      <c r="A18" s="59"/>
      <c r="B18" s="56"/>
      <c r="C18" s="56"/>
      <c r="D18" s="56"/>
      <c r="E18" s="56"/>
      <c r="F18" s="56"/>
      <c r="G18" s="56"/>
      <c r="H18" s="56"/>
      <c r="J18" s="56"/>
      <c r="K18" s="56"/>
      <c r="L18" s="56"/>
      <c r="M18" s="56"/>
      <c r="N18" s="56"/>
    </row>
    <row r="19" spans="1:14" ht="15.75" customHeight="1" x14ac:dyDescent="0.3">
      <c r="A19" s="59"/>
      <c r="B19" s="152" t="s">
        <v>18</v>
      </c>
      <c r="C19" s="153"/>
      <c r="D19" s="153"/>
      <c r="E19" s="153"/>
      <c r="F19" s="154"/>
      <c r="G19" s="56"/>
      <c r="H19" s="152" t="s">
        <v>17</v>
      </c>
      <c r="I19" s="153"/>
      <c r="J19" s="153"/>
      <c r="K19" s="153"/>
      <c r="L19" s="153"/>
      <c r="M19" s="154"/>
      <c r="N19" s="56"/>
    </row>
    <row r="20" spans="1:14" ht="15.75" customHeight="1" x14ac:dyDescent="0.3">
      <c r="A20" s="59"/>
      <c r="B20" s="56"/>
      <c r="C20" s="56"/>
      <c r="D20" s="56"/>
      <c r="E20" s="56"/>
      <c r="F20" s="56"/>
      <c r="G20" s="56"/>
      <c r="H20" s="56"/>
      <c r="I20" s="56"/>
      <c r="J20" s="56"/>
      <c r="K20" s="56"/>
      <c r="L20" s="56"/>
      <c r="M20" s="56"/>
      <c r="N20" s="56"/>
    </row>
    <row r="21" spans="1:14" ht="15.75" customHeight="1" x14ac:dyDescent="0.3">
      <c r="A21" s="58" t="s">
        <v>19</v>
      </c>
      <c r="B21" s="56"/>
      <c r="C21" s="56"/>
      <c r="D21" s="56"/>
      <c r="E21" s="56"/>
      <c r="F21" s="56"/>
      <c r="G21" s="56"/>
      <c r="H21" s="60" t="s">
        <v>20</v>
      </c>
      <c r="I21" s="59"/>
      <c r="J21" s="56"/>
      <c r="K21" s="56"/>
      <c r="L21" s="56"/>
      <c r="M21" s="56"/>
      <c r="N21" s="56"/>
    </row>
    <row r="22" spans="1:14" ht="15.75" customHeight="1" x14ac:dyDescent="0.3">
      <c r="A22" s="59"/>
      <c r="B22" s="56"/>
      <c r="C22" s="56"/>
      <c r="D22" s="56"/>
      <c r="E22" s="56"/>
      <c r="F22" s="56"/>
      <c r="G22" s="56"/>
      <c r="H22" s="56"/>
      <c r="I22" s="56"/>
      <c r="J22" s="56"/>
      <c r="K22" s="56"/>
      <c r="L22" s="56"/>
      <c r="M22" s="56"/>
      <c r="N22" s="56"/>
    </row>
    <row r="23" spans="1:14" ht="15.75" customHeight="1" x14ac:dyDescent="0.3">
      <c r="A23" s="58" t="s">
        <v>21</v>
      </c>
      <c r="B23" s="59" t="s">
        <v>22</v>
      </c>
      <c r="C23" s="56"/>
      <c r="D23" s="56"/>
      <c r="E23" s="56"/>
      <c r="F23" s="56"/>
      <c r="G23" s="56"/>
      <c r="J23" s="56"/>
      <c r="K23" s="56"/>
      <c r="L23" s="56"/>
      <c r="M23" s="56"/>
      <c r="N23" s="56"/>
    </row>
    <row r="24" spans="1:14" ht="15.75" customHeight="1" x14ac:dyDescent="0.3">
      <c r="A24" s="59"/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</row>
    <row r="25" spans="1:14" ht="15.75" customHeight="1" x14ac:dyDescent="0.3">
      <c r="A25" s="58" t="s">
        <v>23</v>
      </c>
      <c r="B25" s="56"/>
      <c r="C25" s="56"/>
      <c r="D25" s="56"/>
      <c r="E25" s="56"/>
      <c r="F25" s="56"/>
      <c r="G25" s="56"/>
      <c r="H25" s="56"/>
      <c r="I25" s="56"/>
      <c r="J25" s="56"/>
      <c r="K25" s="56"/>
      <c r="L25" s="56"/>
      <c r="M25" s="56"/>
      <c r="N25" s="56"/>
    </row>
  </sheetData>
  <mergeCells count="19">
    <mergeCell ref="B4:F4"/>
    <mergeCell ref="B8:F8"/>
    <mergeCell ref="B17:F17"/>
    <mergeCell ref="B19:F19"/>
    <mergeCell ref="B12:F12"/>
    <mergeCell ref="B6:C6"/>
    <mergeCell ref="E6:F6"/>
    <mergeCell ref="B9:F9"/>
    <mergeCell ref="B13:F13"/>
    <mergeCell ref="B14:F14"/>
    <mergeCell ref="B10:F10"/>
    <mergeCell ref="I8:M8"/>
    <mergeCell ref="I6:M6"/>
    <mergeCell ref="I4:M4"/>
    <mergeCell ref="H17:M17"/>
    <mergeCell ref="H19:M19"/>
    <mergeCell ref="I10:M10"/>
    <mergeCell ref="I12:M12"/>
    <mergeCell ref="I14:M14"/>
  </mergeCells>
  <hyperlinks>
    <hyperlink ref="H21" r:id="rId1" xr:uid="{C5F1A710-0D93-4FEE-A9E5-E69CD5C397FD}"/>
  </hyperlinks>
  <pageMargins left="0.23622047244094491" right="0.23622047244094491" top="0.74803149606299213" bottom="0.74803149606299213" header="0.31496062992125984" footer="0.31496062992125984"/>
  <pageSetup paperSize="5" fitToHeight="0" orientation="landscape" r:id="rId2"/>
  <headerFooter alignWithMargins="0">
    <oddHeader>&amp;L&amp;"-,Bold"Ministry of Forests, Timber Pricing Branch, Coast Log Cost Survey; Tab:&amp;A</oddHeader>
    <oddFooter>&amp;L&amp;F&amp;CConfidential&amp;R&amp;P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D69F9-9FDF-4308-A78F-222FE917C4AB}">
  <sheetPr>
    <tabColor theme="9" tint="0.59999389629810485"/>
    <pageSetUpPr autoPageBreaks="0" fitToPage="1"/>
  </sheetPr>
  <dimension ref="A1:I14"/>
  <sheetViews>
    <sheetView showGridLines="0" zoomScale="90" zoomScaleNormal="90" workbookViewId="0">
      <selection activeCell="E4" sqref="E4"/>
    </sheetView>
  </sheetViews>
  <sheetFormatPr defaultColWidth="9" defaultRowHeight="15.6" x14ac:dyDescent="0.3"/>
  <cols>
    <col min="1" max="8" width="15" style="30" customWidth="1"/>
    <col min="9" max="9" width="39.5546875" style="30" customWidth="1"/>
    <col min="10" max="10" width="13" style="30" customWidth="1"/>
    <col min="11" max="16384" width="9" style="30"/>
  </cols>
  <sheetData>
    <row r="1" spans="1:9" x14ac:dyDescent="0.3">
      <c r="A1" s="53" t="s">
        <v>44</v>
      </c>
    </row>
    <row r="3" spans="1:9" ht="46.8" x14ac:dyDescent="0.3">
      <c r="A3" s="32" t="s">
        <v>63</v>
      </c>
      <c r="B3" s="23" t="s">
        <v>104</v>
      </c>
      <c r="C3" s="32" t="s">
        <v>105</v>
      </c>
      <c r="D3" s="32" t="s">
        <v>106</v>
      </c>
      <c r="E3" s="32" t="s">
        <v>107</v>
      </c>
      <c r="F3" s="33" t="s">
        <v>59</v>
      </c>
      <c r="G3" s="32" t="s">
        <v>108</v>
      </c>
      <c r="H3" s="42" t="s">
        <v>109</v>
      </c>
      <c r="I3" s="32" t="s">
        <v>26</v>
      </c>
    </row>
    <row r="4" spans="1:9" x14ac:dyDescent="0.3">
      <c r="A4" s="35"/>
      <c r="C4" s="37"/>
      <c r="D4" s="37"/>
      <c r="E4" s="37"/>
      <c r="F4" s="127">
        <f>SUM(CLTBRN[[#This Row],[Prescription and Planning ($)]:[Mop-up, Monitor ($)]])</f>
        <v>0</v>
      </c>
      <c r="G4" s="92"/>
      <c r="H4" s="94">
        <f>IFERROR(CLTBRN[[#This Row],[Total Cost ($)]]/CLTBRN[[#This Row],[Treatment Area (ha)]],)</f>
        <v>0</v>
      </c>
      <c r="I4" s="8"/>
    </row>
    <row r="5" spans="1:9" x14ac:dyDescent="0.3">
      <c r="A5" s="35"/>
      <c r="C5" s="37"/>
      <c r="D5" s="37"/>
      <c r="E5" s="37"/>
      <c r="F5" s="127">
        <f>SUM(CLTBRN[[#This Row],[Prescription and Planning ($)]:[Mop-up, Monitor ($)]])</f>
        <v>0</v>
      </c>
      <c r="G5" s="92"/>
      <c r="H5" s="94">
        <f>IFERROR(CLTBRN[[#This Row],[Total Cost ($)]]/CLTBRN[[#This Row],[Treatment Area (ha)]],)</f>
        <v>0</v>
      </c>
      <c r="I5" s="8"/>
    </row>
    <row r="6" spans="1:9" x14ac:dyDescent="0.3">
      <c r="A6" s="35"/>
      <c r="C6" s="37"/>
      <c r="D6" s="37"/>
      <c r="E6" s="37"/>
      <c r="F6" s="127">
        <f>SUM(CLTBRN[[#This Row],[Prescription and Planning ($)]:[Mop-up, Monitor ($)]])</f>
        <v>0</v>
      </c>
      <c r="G6" s="92"/>
      <c r="H6" s="94">
        <f>IFERROR(CLTBRN[[#This Row],[Total Cost ($)]]/CLTBRN[[#This Row],[Treatment Area (ha)]],)</f>
        <v>0</v>
      </c>
      <c r="I6" s="8"/>
    </row>
    <row r="7" spans="1:9" x14ac:dyDescent="0.3">
      <c r="A7" s="35"/>
      <c r="C7" s="37"/>
      <c r="D7" s="37"/>
      <c r="E7" s="37"/>
      <c r="F7" s="127">
        <f>SUM(CLTBRN[[#This Row],[Prescription and Planning ($)]:[Mop-up, Monitor ($)]])</f>
        <v>0</v>
      </c>
      <c r="G7" s="92"/>
      <c r="H7" s="94">
        <f>IFERROR(CLTBRN[[#This Row],[Total Cost ($)]]/CLTBRN[[#This Row],[Treatment Area (ha)]],)</f>
        <v>0</v>
      </c>
      <c r="I7" s="8"/>
    </row>
    <row r="8" spans="1:9" x14ac:dyDescent="0.3">
      <c r="A8" s="35"/>
      <c r="C8" s="37"/>
      <c r="D8" s="37"/>
      <c r="E8" s="37"/>
      <c r="F8" s="127">
        <f>SUM(CLTBRN[[#This Row],[Prescription and Planning ($)]:[Mop-up, Monitor ($)]])</f>
        <v>0</v>
      </c>
      <c r="G8" s="92"/>
      <c r="H8" s="94">
        <f>IFERROR(CLTBRN[[#This Row],[Total Cost ($)]]/CLTBRN[[#This Row],[Treatment Area (ha)]],)</f>
        <v>0</v>
      </c>
      <c r="I8" s="8"/>
    </row>
    <row r="9" spans="1:9" x14ac:dyDescent="0.3">
      <c r="A9" s="35"/>
      <c r="C9" s="37"/>
      <c r="D9" s="37"/>
      <c r="E9" s="37"/>
      <c r="F9" s="127">
        <f>SUM(CLTBRN[[#This Row],[Prescription and Planning ($)]:[Mop-up, Monitor ($)]])</f>
        <v>0</v>
      </c>
      <c r="G9" s="92"/>
      <c r="H9" s="94">
        <f>IFERROR(CLTBRN[[#This Row],[Total Cost ($)]]/CLTBRN[[#This Row],[Treatment Area (ha)]],)</f>
        <v>0</v>
      </c>
      <c r="I9" s="8"/>
    </row>
    <row r="10" spans="1:9" x14ac:dyDescent="0.3">
      <c r="A10" s="35"/>
      <c r="C10" s="37"/>
      <c r="D10" s="37"/>
      <c r="E10" s="37"/>
      <c r="F10" s="127">
        <f>SUM(CLTBRN[[#This Row],[Prescription and Planning ($)]:[Mop-up, Monitor ($)]])</f>
        <v>0</v>
      </c>
      <c r="G10" s="92"/>
      <c r="H10" s="94">
        <f>IFERROR(CLTBRN[[#This Row],[Total Cost ($)]]/CLTBRN[[#This Row],[Treatment Area (ha)]],)</f>
        <v>0</v>
      </c>
      <c r="I10" s="8"/>
    </row>
    <row r="11" spans="1:9" x14ac:dyDescent="0.3">
      <c r="A11" s="35"/>
      <c r="C11" s="37"/>
      <c r="D11" s="37"/>
      <c r="E11" s="37"/>
      <c r="F11" s="127">
        <f>SUM(CLTBRN[[#This Row],[Prescription and Planning ($)]:[Mop-up, Monitor ($)]])</f>
        <v>0</v>
      </c>
      <c r="G11" s="92"/>
      <c r="H11" s="94">
        <f>IFERROR(CLTBRN[[#This Row],[Total Cost ($)]]/CLTBRN[[#This Row],[Treatment Area (ha)]],)</f>
        <v>0</v>
      </c>
      <c r="I11" s="8"/>
    </row>
    <row r="12" spans="1:9" x14ac:dyDescent="0.3">
      <c r="A12" s="35"/>
      <c r="C12" s="37"/>
      <c r="D12" s="37"/>
      <c r="E12" s="37"/>
      <c r="F12" s="127">
        <f>SUM(CLTBRN[[#This Row],[Prescription and Planning ($)]:[Mop-up, Monitor ($)]])</f>
        <v>0</v>
      </c>
      <c r="G12" s="92"/>
      <c r="H12" s="94">
        <f>IFERROR(CLTBRN[[#This Row],[Total Cost ($)]]/CLTBRN[[#This Row],[Treatment Area (ha)]],)</f>
        <v>0</v>
      </c>
      <c r="I12" s="8"/>
    </row>
    <row r="13" spans="1:9" x14ac:dyDescent="0.3">
      <c r="A13" s="35"/>
      <c r="C13" s="37"/>
      <c r="D13" s="37"/>
      <c r="E13" s="37"/>
      <c r="F13" s="127">
        <f>SUM(CLTBRN[[#This Row],[Prescription and Planning ($)]:[Mop-up, Monitor ($)]])</f>
        <v>0</v>
      </c>
      <c r="G13" s="92"/>
      <c r="H13" s="94">
        <f>IFERROR(CLTBRN[[#This Row],[Total Cost ($)]]/CLTBRN[[#This Row],[Treatment Area (ha)]],)</f>
        <v>0</v>
      </c>
      <c r="I13" s="8"/>
    </row>
    <row r="14" spans="1:9" x14ac:dyDescent="0.3">
      <c r="A14" s="39"/>
      <c r="B14" s="38"/>
      <c r="C14" s="40">
        <f>SUBTOTAL(109,CLTBRN[Prescription and Planning ($)])</f>
        <v>0</v>
      </c>
      <c r="D14" s="40">
        <f>SUBTOTAL(109,CLTBRN[Burning ($)])</f>
        <v>0</v>
      </c>
      <c r="E14" s="40">
        <f>SUBTOTAL(109,CLTBRN[Mop-up, Monitor ($)])</f>
        <v>0</v>
      </c>
      <c r="F14" s="79">
        <f>SUBTOTAL(109,CLTBRN[Total Cost ($)])</f>
        <v>0</v>
      </c>
      <c r="G14" s="93">
        <f>SUBTOTAL(109,CLTBRN[Treatment Area (ha)])</f>
        <v>0</v>
      </c>
      <c r="H14" s="94">
        <f>IFERROR(CLTBRN[[#Totals],[Total Cost ($)]]/CLTBRN[[#Totals],[Treatment Area (ha)]],)</f>
        <v>0</v>
      </c>
    </row>
  </sheetData>
  <phoneticPr fontId="14" type="noConversion"/>
  <pageMargins left="0.23622047244094491" right="0.23622047244094491" top="0.74803149606299213" bottom="0.74803149606299213" header="0.31496062992125984" footer="0.31496062992125984"/>
  <pageSetup paperSize="5" fitToHeight="0" orientation="landscape" r:id="rId1"/>
  <headerFooter alignWithMargins="0">
    <oddHeader>&amp;L&amp;"-,Bold"Ministry of Forests, Timber Pricing Branch, Coast Log Cost Survey; Tab:&amp;A</oddHeader>
    <oddFooter>&amp;L&amp;F&amp;CConfidential&amp;R&amp;P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7F4B4-40D6-4C44-BF79-969C0BBBE495}">
  <sheetPr>
    <tabColor theme="4" tint="0.59999389629810485"/>
    <pageSetUpPr autoPageBreaks="0" fitToPage="1"/>
  </sheetPr>
  <dimension ref="A1:K22"/>
  <sheetViews>
    <sheetView showGridLines="0" zoomScale="90" zoomScaleNormal="90" workbookViewId="0">
      <selection activeCell="C4" sqref="C4"/>
    </sheetView>
  </sheetViews>
  <sheetFormatPr defaultColWidth="9" defaultRowHeight="15.6" x14ac:dyDescent="0.3"/>
  <cols>
    <col min="1" max="1" width="14" style="4" customWidth="1"/>
    <col min="2" max="2" width="38.21875" style="4" customWidth="1"/>
    <col min="3" max="3" width="35.5546875" style="4" customWidth="1"/>
    <col min="4" max="7" width="16.44140625" style="4" customWidth="1"/>
    <col min="8" max="8" width="15.21875" style="4" customWidth="1"/>
    <col min="9" max="9" width="11.44140625" style="4" customWidth="1"/>
    <col min="10" max="10" width="39.44140625" style="4" customWidth="1"/>
    <col min="11" max="11" width="16.77734375" style="4" customWidth="1"/>
    <col min="12" max="12" width="20.77734375" style="4" customWidth="1"/>
    <col min="13" max="18" width="16.21875" style="4" customWidth="1"/>
    <col min="19" max="16384" width="9" style="4"/>
  </cols>
  <sheetData>
    <row r="1" spans="1:10" x14ac:dyDescent="0.3">
      <c r="A1" s="7" t="s">
        <v>110</v>
      </c>
      <c r="B1" s="7"/>
      <c r="G1" s="6"/>
      <c r="H1" s="6"/>
      <c r="I1" s="6"/>
    </row>
    <row r="2" spans="1:10" x14ac:dyDescent="0.3">
      <c r="G2" s="6"/>
      <c r="H2" s="6"/>
      <c r="I2" s="6"/>
    </row>
    <row r="3" spans="1:10" s="5" customFormat="1" ht="31.2" x14ac:dyDescent="0.3">
      <c r="A3" s="23" t="s">
        <v>63</v>
      </c>
      <c r="B3" s="42" t="s">
        <v>230</v>
      </c>
      <c r="C3" s="42" t="s">
        <v>111</v>
      </c>
      <c r="D3" s="126" t="s">
        <v>245</v>
      </c>
      <c r="E3" s="23" t="s">
        <v>112</v>
      </c>
      <c r="F3" s="23" t="s">
        <v>113</v>
      </c>
      <c r="G3" s="23" t="s">
        <v>70</v>
      </c>
      <c r="H3" s="42" t="s">
        <v>244</v>
      </c>
      <c r="I3" s="42" t="s">
        <v>61</v>
      </c>
      <c r="J3" s="23" t="s">
        <v>26</v>
      </c>
    </row>
    <row r="4" spans="1:10" x14ac:dyDescent="0.3">
      <c r="A4" s="25"/>
      <c r="B4" s="115" t="s">
        <v>230</v>
      </c>
      <c r="C4" s="25" t="s">
        <v>243</v>
      </c>
      <c r="D4" s="120"/>
      <c r="E4" s="25" t="s">
        <v>243</v>
      </c>
      <c r="F4" s="38"/>
      <c r="G4" s="26"/>
      <c r="H4" s="102"/>
      <c r="I4" s="89">
        <f>IFERROR(HARVEST[[#This Row],[Cost ($)]]/HARVEST[[#This Row],[Harvest Volume (m3)]],)</f>
        <v>0</v>
      </c>
      <c r="J4" s="27"/>
    </row>
    <row r="5" spans="1:10" x14ac:dyDescent="0.3">
      <c r="A5" s="25"/>
      <c r="B5" s="115" t="s">
        <v>230</v>
      </c>
      <c r="C5" s="25" t="s">
        <v>243</v>
      </c>
      <c r="D5" s="120"/>
      <c r="E5" s="25" t="s">
        <v>243</v>
      </c>
      <c r="F5" s="38"/>
      <c r="G5" s="26"/>
      <c r="H5" s="102"/>
      <c r="I5" s="89">
        <f>IFERROR(HARVEST[[#This Row],[Cost ($)]]/HARVEST[[#This Row],[Harvest Volume (m3)]],)</f>
        <v>0</v>
      </c>
      <c r="J5" s="27"/>
    </row>
    <row r="6" spans="1:10" x14ac:dyDescent="0.3">
      <c r="A6" s="25"/>
      <c r="B6" s="115" t="s">
        <v>230</v>
      </c>
      <c r="C6" s="25" t="s">
        <v>243</v>
      </c>
      <c r="D6" s="120"/>
      <c r="E6" s="25" t="s">
        <v>243</v>
      </c>
      <c r="F6" s="38"/>
      <c r="G6" s="26"/>
      <c r="H6" s="102"/>
      <c r="I6" s="89">
        <f>IFERROR(HARVEST[[#This Row],[Cost ($)]]/HARVEST[[#This Row],[Harvest Volume (m3)]],)</f>
        <v>0</v>
      </c>
      <c r="J6" s="27"/>
    </row>
    <row r="7" spans="1:10" x14ac:dyDescent="0.3">
      <c r="A7" s="25"/>
      <c r="B7" s="115" t="s">
        <v>230</v>
      </c>
      <c r="C7" s="25" t="s">
        <v>243</v>
      </c>
      <c r="D7" s="120"/>
      <c r="E7" s="25" t="s">
        <v>243</v>
      </c>
      <c r="F7" s="38"/>
      <c r="G7" s="26"/>
      <c r="H7" s="102"/>
      <c r="I7" s="89">
        <f>IFERROR(HARVEST[[#This Row],[Cost ($)]]/HARVEST[[#This Row],[Harvest Volume (m3)]],)</f>
        <v>0</v>
      </c>
      <c r="J7" s="27"/>
    </row>
    <row r="8" spans="1:10" x14ac:dyDescent="0.3">
      <c r="A8" s="25"/>
      <c r="B8" s="115" t="s">
        <v>230</v>
      </c>
      <c r="C8" s="25" t="s">
        <v>243</v>
      </c>
      <c r="D8" s="120"/>
      <c r="E8" s="25" t="s">
        <v>243</v>
      </c>
      <c r="F8" s="38"/>
      <c r="G8" s="26"/>
      <c r="H8" s="102"/>
      <c r="I8" s="89">
        <f>IFERROR(HARVEST[[#This Row],[Cost ($)]]/HARVEST[[#This Row],[Harvest Volume (m3)]],)</f>
        <v>0</v>
      </c>
      <c r="J8" s="27"/>
    </row>
    <row r="9" spans="1:10" x14ac:dyDescent="0.3">
      <c r="A9" s="25"/>
      <c r="B9" s="115" t="s">
        <v>230</v>
      </c>
      <c r="C9" s="25" t="s">
        <v>243</v>
      </c>
      <c r="D9" s="120"/>
      <c r="E9" s="25" t="s">
        <v>243</v>
      </c>
      <c r="F9" s="38"/>
      <c r="G9" s="26"/>
      <c r="H9" s="102"/>
      <c r="I9" s="89">
        <f>IFERROR(HARVEST[[#This Row],[Cost ($)]]/HARVEST[[#This Row],[Harvest Volume (m3)]],)</f>
        <v>0</v>
      </c>
      <c r="J9" s="27"/>
    </row>
    <row r="10" spans="1:10" x14ac:dyDescent="0.3">
      <c r="B10" s="115" t="s">
        <v>230</v>
      </c>
      <c r="C10" s="25" t="s">
        <v>243</v>
      </c>
      <c r="D10" s="120"/>
      <c r="E10" s="25" t="s">
        <v>243</v>
      </c>
      <c r="F10" s="103"/>
      <c r="G10" s="131"/>
      <c r="H10" s="104"/>
      <c r="I10" s="105">
        <f>IFERROR(HARVEST[[#This Row],[Cost ($)]]/HARVEST[[#This Row],[Harvest Volume (m3)]],)</f>
        <v>0</v>
      </c>
    </row>
    <row r="11" spans="1:10" x14ac:dyDescent="0.3">
      <c r="A11" s="38"/>
      <c r="B11" s="38"/>
      <c r="C11" s="38"/>
      <c r="D11"/>
      <c r="E11" s="38"/>
      <c r="F11" s="112"/>
      <c r="G11" s="31">
        <f>SUBTOTAL(109,HARVEST[Cost ($)])</f>
        <v>0</v>
      </c>
      <c r="H11" s="117">
        <f>SUBTOTAL(109,HARVEST[Harvest Volume (m3)])</f>
        <v>0</v>
      </c>
      <c r="I11" s="116">
        <f>IFERROR(HARVEST[[#Totals],[Cost ($)]]/HARVEST[[#Totals],[Harvest Volume (m3)]],)</f>
        <v>0</v>
      </c>
      <c r="J11" s="46"/>
    </row>
    <row r="13" spans="1:10" ht="31.2" x14ac:dyDescent="0.3">
      <c r="A13" s="23" t="s">
        <v>63</v>
      </c>
      <c r="B13" s="42" t="s">
        <v>269</v>
      </c>
      <c r="C13" s="42" t="s">
        <v>111</v>
      </c>
      <c r="D13" s="119" t="s">
        <v>245</v>
      </c>
      <c r="E13" s="23" t="s">
        <v>112</v>
      </c>
      <c r="F13" s="23" t="s">
        <v>113</v>
      </c>
      <c r="G13" s="23" t="s">
        <v>70</v>
      </c>
      <c r="H13" s="42" t="s">
        <v>244</v>
      </c>
      <c r="I13" s="42" t="s">
        <v>61</v>
      </c>
      <c r="J13" s="23" t="s">
        <v>26</v>
      </c>
    </row>
    <row r="14" spans="1:10" x14ac:dyDescent="0.3">
      <c r="A14" s="25"/>
      <c r="B14" s="111" t="s">
        <v>243</v>
      </c>
      <c r="C14" s="25" t="s">
        <v>243</v>
      </c>
      <c r="D14" s="120"/>
      <c r="E14" s="25" t="s">
        <v>243</v>
      </c>
      <c r="F14" s="38"/>
      <c r="G14" s="26"/>
      <c r="H14" s="102"/>
      <c r="I14" s="89">
        <f>IFERROR(HARVEST2[[#This Row],[Cost ($)]]/HARVEST2[[#This Row],[Harvest Volume (m3)]],)</f>
        <v>0</v>
      </c>
      <c r="J14" s="27"/>
    </row>
    <row r="15" spans="1:10" x14ac:dyDescent="0.3">
      <c r="A15" s="25"/>
      <c r="B15" s="111" t="s">
        <v>243</v>
      </c>
      <c r="C15" s="25" t="s">
        <v>243</v>
      </c>
      <c r="D15" s="120"/>
      <c r="E15" s="25" t="s">
        <v>243</v>
      </c>
      <c r="F15" s="38"/>
      <c r="G15" s="26"/>
      <c r="H15" s="102"/>
      <c r="I15" s="89">
        <f>IFERROR(HARVEST2[[#This Row],[Cost ($)]]/HARVEST2[[#This Row],[Harvest Volume (m3)]],)</f>
        <v>0</v>
      </c>
      <c r="J15" s="27"/>
    </row>
    <row r="16" spans="1:10" x14ac:dyDescent="0.3">
      <c r="A16" s="25"/>
      <c r="B16" s="111" t="s">
        <v>243</v>
      </c>
      <c r="C16" s="25" t="s">
        <v>243</v>
      </c>
      <c r="D16" s="120"/>
      <c r="E16" s="25" t="s">
        <v>243</v>
      </c>
      <c r="F16" s="38"/>
      <c r="G16" s="26"/>
      <c r="H16" s="102"/>
      <c r="I16" s="89">
        <f>IFERROR(HARVEST2[[#This Row],[Cost ($)]]/HARVEST2[[#This Row],[Harvest Volume (m3)]],)</f>
        <v>0</v>
      </c>
      <c r="J16" s="27"/>
    </row>
    <row r="17" spans="1:11" x14ac:dyDescent="0.3">
      <c r="A17" s="25"/>
      <c r="B17" s="111" t="s">
        <v>243</v>
      </c>
      <c r="C17" s="25" t="s">
        <v>243</v>
      </c>
      <c r="D17" s="120"/>
      <c r="E17" s="25" t="s">
        <v>243</v>
      </c>
      <c r="F17" s="38"/>
      <c r="G17" s="26"/>
      <c r="H17" s="102"/>
      <c r="I17" s="89">
        <f>IFERROR(HARVEST2[[#This Row],[Cost ($)]]/HARVEST2[[#This Row],[Harvest Volume (m3)]],)</f>
        <v>0</v>
      </c>
      <c r="J17" s="27"/>
    </row>
    <row r="18" spans="1:11" x14ac:dyDescent="0.3">
      <c r="A18" s="25"/>
      <c r="B18" s="111" t="s">
        <v>243</v>
      </c>
      <c r="C18" s="25" t="s">
        <v>243</v>
      </c>
      <c r="D18" s="120"/>
      <c r="E18" s="25" t="s">
        <v>243</v>
      </c>
      <c r="F18" s="38"/>
      <c r="G18" s="26"/>
      <c r="H18" s="102"/>
      <c r="I18" s="89">
        <f>IFERROR(HARVEST2[[#This Row],[Cost ($)]]/HARVEST2[[#This Row],[Harvest Volume (m3)]],)</f>
        <v>0</v>
      </c>
      <c r="J18" s="27"/>
    </row>
    <row r="19" spans="1:11" x14ac:dyDescent="0.3">
      <c r="A19" s="25"/>
      <c r="B19" s="111" t="s">
        <v>243</v>
      </c>
      <c r="C19" s="25" t="s">
        <v>243</v>
      </c>
      <c r="D19" s="120"/>
      <c r="E19" s="25" t="s">
        <v>243</v>
      </c>
      <c r="F19" s="38"/>
      <c r="G19" s="26"/>
      <c r="H19" s="102"/>
      <c r="I19" s="89">
        <f>IFERROR(HARVEST2[[#This Row],[Cost ($)]]/HARVEST2[[#This Row],[Harvest Volume (m3)]],)</f>
        <v>0</v>
      </c>
      <c r="J19" s="27"/>
    </row>
    <row r="20" spans="1:11" x14ac:dyDescent="0.3">
      <c r="A20" s="25"/>
      <c r="B20" s="111" t="s">
        <v>243</v>
      </c>
      <c r="C20" s="25" t="s">
        <v>243</v>
      </c>
      <c r="D20" s="120"/>
      <c r="E20" s="25" t="s">
        <v>243</v>
      </c>
      <c r="F20" s="38"/>
      <c r="G20" s="26"/>
      <c r="H20" s="102"/>
      <c r="I20" s="89">
        <f>IFERROR(HARVEST2[[#This Row],[Cost ($)]]/HARVEST2[[#This Row],[Harvest Volume (m3)]],)</f>
        <v>0</v>
      </c>
      <c r="J20" s="27"/>
      <c r="K20" s="78"/>
    </row>
    <row r="21" spans="1:11" x14ac:dyDescent="0.3">
      <c r="B21" s="111" t="s">
        <v>243</v>
      </c>
      <c r="C21" s="25" t="s">
        <v>243</v>
      </c>
      <c r="D21" s="120"/>
      <c r="E21" s="25" t="s">
        <v>243</v>
      </c>
      <c r="F21" s="103"/>
      <c r="G21" s="131"/>
      <c r="H21" s="104"/>
      <c r="I21" s="105">
        <f>IFERROR(HARVEST2[[#This Row],[Cost ($)]]/HARVEST2[[#This Row],[Harvest Volume (m3)]],)</f>
        <v>0</v>
      </c>
    </row>
    <row r="22" spans="1:11" x14ac:dyDescent="0.3">
      <c r="A22" s="38"/>
      <c r="B22" s="38"/>
      <c r="C22" s="38"/>
      <c r="D22"/>
      <c r="E22" s="38"/>
      <c r="F22" s="112"/>
      <c r="G22" s="31">
        <f>SUBTOTAL(109,HARVEST2[Cost ($)])</f>
        <v>0</v>
      </c>
      <c r="H22" s="117">
        <f>SUBTOTAL(109,HARVEST2[Harvest Volume (m3)])</f>
        <v>0</v>
      </c>
      <c r="I22" s="116">
        <f>IFERROR(HARVEST2[[#Totals],[Cost ($)]]/HARVEST2[[#Totals],[Harvest Volume (m3)]],)</f>
        <v>0</v>
      </c>
      <c r="J22" s="46"/>
    </row>
  </sheetData>
  <pageMargins left="0.23622047244094491" right="0.23622047244094491" top="0.74803149606299213" bottom="0.74803149606299213" header="0.31496062992125984" footer="0.31496062992125984"/>
  <pageSetup paperSize="5" scale="92" fitToHeight="0" orientation="landscape" r:id="rId1"/>
  <headerFooter alignWithMargins="0">
    <oddHeader>&amp;L&amp;"-,Bold"Ministry of Forests, Timber Pricing Branch, Coast Log Cost Survey; Tab:&amp;A</oddHeader>
    <oddFooter>&amp;L&amp;F&amp;CConfidential&amp;R&amp;P</oddFooter>
  </headerFooter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errorStyle="warning" allowBlank="1" showInputMessage="1" showErrorMessage="1" xr:uid="{9848C3E3-852B-400D-896D-E802BA27440D}">
          <x14:formula1>
            <xm:f>LKUP!$C$5:$C$10</xm:f>
          </x14:formula1>
          <xm:sqref>B14:B21</xm:sqref>
        </x14:dataValidation>
        <x14:dataValidation type="list" allowBlank="1" showInputMessage="1" showErrorMessage="1" xr:uid="{4879A467-0DCD-4A85-8465-91D4ABBF08E5}">
          <x14:formula1>
            <xm:f>LKUP!$A$1:$A$9</xm:f>
          </x14:formula1>
          <xm:sqref>C4:C10 C14:C21</xm:sqref>
        </x14:dataValidation>
        <x14:dataValidation type="list" allowBlank="1" showInputMessage="1" showErrorMessage="1" xr:uid="{24AE9040-1FEA-4BF3-8ADA-C9BA91442E19}">
          <x14:formula1>
            <xm:f>LKUP!$B$1:$B$3</xm:f>
          </x14:formula1>
          <xm:sqref>E4:E10 E14:E21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E83DB-C608-4AE6-B14A-C0FD0D48F433}">
  <sheetPr>
    <tabColor theme="4" tint="0.59999389629810485"/>
    <pageSetUpPr autoPageBreaks="0" fitToPage="1"/>
  </sheetPr>
  <dimension ref="A1:J14"/>
  <sheetViews>
    <sheetView showGridLines="0" zoomScale="90" zoomScaleNormal="90" workbookViewId="0">
      <selection activeCell="C6" sqref="C6"/>
    </sheetView>
  </sheetViews>
  <sheetFormatPr defaultColWidth="15.5546875" defaultRowHeight="15.6" x14ac:dyDescent="0.3"/>
  <cols>
    <col min="1" max="1" width="13.77734375" style="30" customWidth="1"/>
    <col min="2" max="2" width="18.21875" style="30" customWidth="1"/>
    <col min="3" max="3" width="32.44140625" style="38" customWidth="1"/>
    <col min="4" max="9" width="13.77734375" style="30" customWidth="1"/>
    <col min="10" max="10" width="32.88671875" style="30" customWidth="1"/>
    <col min="11" max="11" width="9.21875" style="30" customWidth="1"/>
    <col min="12" max="16384" width="15.5546875" style="30"/>
  </cols>
  <sheetData>
    <row r="1" spans="1:10" x14ac:dyDescent="0.3">
      <c r="A1" s="7" t="s">
        <v>47</v>
      </c>
      <c r="B1" s="4"/>
      <c r="C1" s="103"/>
      <c r="D1"/>
      <c r="E1"/>
      <c r="F1"/>
      <c r="G1"/>
      <c r="H1" s="6"/>
      <c r="I1" s="4"/>
    </row>
    <row r="2" spans="1:10" x14ac:dyDescent="0.3">
      <c r="A2" s="4"/>
      <c r="B2" s="4"/>
      <c r="C2" s="103"/>
      <c r="D2"/>
      <c r="E2"/>
      <c r="F2"/>
      <c r="G2" s="6"/>
      <c r="H2" s="6"/>
      <c r="I2" s="4"/>
    </row>
    <row r="3" spans="1:10" ht="31.2" x14ac:dyDescent="0.3">
      <c r="A3" s="23" t="s">
        <v>63</v>
      </c>
      <c r="B3" s="23" t="s">
        <v>114</v>
      </c>
      <c r="C3" s="23" t="s">
        <v>115</v>
      </c>
      <c r="D3" s="23" t="s">
        <v>116</v>
      </c>
      <c r="E3" s="23" t="s">
        <v>117</v>
      </c>
      <c r="F3" s="23" t="s">
        <v>118</v>
      </c>
      <c r="G3" s="23" t="s">
        <v>119</v>
      </c>
      <c r="H3" s="23" t="s">
        <v>60</v>
      </c>
      <c r="I3" s="23" t="s">
        <v>61</v>
      </c>
      <c r="J3" s="23" t="s">
        <v>26</v>
      </c>
    </row>
    <row r="4" spans="1:10" x14ac:dyDescent="0.3">
      <c r="B4" s="25" t="s">
        <v>243</v>
      </c>
      <c r="C4" s="38" t="s">
        <v>243</v>
      </c>
      <c r="F4" s="49"/>
      <c r="G4" s="26"/>
      <c r="H4" s="102"/>
      <c r="I4" s="88">
        <f>IFERROR(BRGTW[[#This Row],[Total ($)]]/BRGTW[[#This Row],[Crown Volume (m3)]],)</f>
        <v>0</v>
      </c>
      <c r="J4" s="27"/>
    </row>
    <row r="5" spans="1:10" x14ac:dyDescent="0.3">
      <c r="B5" s="25" t="s">
        <v>243</v>
      </c>
      <c r="C5" s="38" t="s">
        <v>243</v>
      </c>
      <c r="F5" s="49"/>
      <c r="G5" s="26"/>
      <c r="H5" s="102"/>
      <c r="I5" s="88">
        <f>IFERROR(BRGTW[[#This Row],[Total ($)]]/BRGTW[[#This Row],[Crown Volume (m3)]],)</f>
        <v>0</v>
      </c>
      <c r="J5" s="27"/>
    </row>
    <row r="6" spans="1:10" x14ac:dyDescent="0.3">
      <c r="B6" s="25" t="s">
        <v>243</v>
      </c>
      <c r="C6" s="38" t="s">
        <v>243</v>
      </c>
      <c r="F6" s="49"/>
      <c r="G6" s="26"/>
      <c r="H6" s="102"/>
      <c r="I6" s="88">
        <f>IFERROR(BRGTW[[#This Row],[Total ($)]]/BRGTW[[#This Row],[Crown Volume (m3)]],)</f>
        <v>0</v>
      </c>
      <c r="J6" s="27"/>
    </row>
    <row r="7" spans="1:10" x14ac:dyDescent="0.3">
      <c r="B7" s="25" t="s">
        <v>243</v>
      </c>
      <c r="C7" s="38" t="s">
        <v>243</v>
      </c>
      <c r="F7" s="49"/>
      <c r="G7" s="26"/>
      <c r="H7" s="102"/>
      <c r="I7" s="88">
        <f>IFERROR(BRGTW[[#This Row],[Total ($)]]/BRGTW[[#This Row],[Crown Volume (m3)]],)</f>
        <v>0</v>
      </c>
      <c r="J7" s="27"/>
    </row>
    <row r="8" spans="1:10" x14ac:dyDescent="0.3">
      <c r="B8" s="25" t="s">
        <v>243</v>
      </c>
      <c r="C8" s="38" t="s">
        <v>243</v>
      </c>
      <c r="F8" s="49"/>
      <c r="G8" s="26"/>
      <c r="H8" s="102"/>
      <c r="I8" s="88">
        <f>IFERROR(BRGTW[[#This Row],[Total ($)]]/BRGTW[[#This Row],[Crown Volume (m3)]],)</f>
        <v>0</v>
      </c>
      <c r="J8" s="27"/>
    </row>
    <row r="9" spans="1:10" x14ac:dyDescent="0.3">
      <c r="B9" s="25" t="s">
        <v>243</v>
      </c>
      <c r="C9" s="38" t="s">
        <v>243</v>
      </c>
      <c r="F9" s="49"/>
      <c r="G9" s="26"/>
      <c r="H9" s="102"/>
      <c r="I9" s="88">
        <f>IFERROR(BRGTW[[#This Row],[Total ($)]]/BRGTW[[#This Row],[Crown Volume (m3)]],)</f>
        <v>0</v>
      </c>
      <c r="J9" s="27"/>
    </row>
    <row r="10" spans="1:10" x14ac:dyDescent="0.3">
      <c r="B10" s="25" t="s">
        <v>243</v>
      </c>
      <c r="C10" s="38" t="s">
        <v>243</v>
      </c>
      <c r="F10" s="49"/>
      <c r="G10" s="26"/>
      <c r="H10" s="102"/>
      <c r="I10" s="88">
        <f>IFERROR(BRGTW[[#This Row],[Total ($)]]/BRGTW[[#This Row],[Crown Volume (m3)]],)</f>
        <v>0</v>
      </c>
      <c r="J10" s="27"/>
    </row>
    <row r="11" spans="1:10" x14ac:dyDescent="0.3">
      <c r="B11" s="25" t="s">
        <v>243</v>
      </c>
      <c r="C11" s="38" t="s">
        <v>243</v>
      </c>
      <c r="F11" s="49"/>
      <c r="G11" s="26"/>
      <c r="H11" s="102"/>
      <c r="I11" s="88">
        <f>IFERROR(BRGTW[[#This Row],[Total ($)]]/BRGTW[[#This Row],[Crown Volume (m3)]],)</f>
        <v>0</v>
      </c>
      <c r="J11" s="27"/>
    </row>
    <row r="12" spans="1:10" x14ac:dyDescent="0.3">
      <c r="B12" s="25" t="s">
        <v>243</v>
      </c>
      <c r="C12" s="38" t="s">
        <v>243</v>
      </c>
      <c r="F12" s="49"/>
      <c r="G12" s="26"/>
      <c r="H12" s="102"/>
      <c r="I12" s="88">
        <f>IFERROR(BRGTW[[#This Row],[Total ($)]]/BRGTW[[#This Row],[Crown Volume (m3)]],)</f>
        <v>0</v>
      </c>
      <c r="J12" s="27"/>
    </row>
    <row r="13" spans="1:10" x14ac:dyDescent="0.3">
      <c r="B13" s="25" t="s">
        <v>243</v>
      </c>
      <c r="C13" s="38" t="s">
        <v>243</v>
      </c>
      <c r="F13" s="49"/>
      <c r="G13" s="26"/>
      <c r="H13" s="102"/>
      <c r="I13" s="88">
        <f>IFERROR(BRGTW[[#This Row],[Total ($)]]/BRGTW[[#This Row],[Crown Volume (m3)]],)</f>
        <v>0</v>
      </c>
      <c r="J13" s="27"/>
    </row>
    <row r="14" spans="1:10" x14ac:dyDescent="0.3">
      <c r="F14" s="50"/>
      <c r="G14" s="31">
        <f>SUBTOTAL(109,BRGTW[Total ($)])</f>
        <v>0</v>
      </c>
      <c r="H14" s="117">
        <f>SUBTOTAL(109,BRGTW[Crown Volume (m3)])</f>
        <v>0</v>
      </c>
      <c r="I14" s="128">
        <f>IFERROR(BRGTW[[#Totals],[Total ($)]]/BRGTW[[#Totals],[Crown Volume (m3)]],)</f>
        <v>0</v>
      </c>
    </row>
  </sheetData>
  <phoneticPr fontId="14" type="noConversion"/>
  <pageMargins left="0.23622047244094491" right="0.23622047244094491" top="0.74803149606299213" bottom="0.74803149606299213" header="0.31496062992125984" footer="0.31496062992125984"/>
  <pageSetup paperSize="5" fitToHeight="0" orientation="landscape" r:id="rId1"/>
  <headerFooter alignWithMargins="0">
    <oddHeader>&amp;L&amp;"-,Bold"Ministry of Forests, Timber Pricing Branch, Coast Log Cost Survey; Tab:&amp;A</oddHeader>
    <oddFooter>&amp;L&amp;F&amp;CConfidential&amp;R&amp;P</oddFooter>
  </headerFooter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DEB83CC7-3B1F-4051-AD22-62C8348BBD1D}">
          <x14:formula1>
            <xm:f>LKUP!$B$22:$B$24</xm:f>
          </x14:formula1>
          <xm:sqref>B4:B13</xm:sqref>
        </x14:dataValidation>
        <x14:dataValidation type="list" allowBlank="1" showInputMessage="1" showErrorMessage="1" xr:uid="{482354A0-AE52-4EA1-B924-014F3F535413}">
          <x14:formula1>
            <xm:f>LKUP!$C$31:$C$55</xm:f>
          </x14:formula1>
          <xm:sqref>C4:C13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A647A-CDA8-4C49-A7B8-E7499D7A53D5}">
  <sheetPr>
    <tabColor theme="4" tint="0.59999389629810485"/>
    <pageSetUpPr autoPageBreaks="0" fitToPage="1"/>
  </sheetPr>
  <dimension ref="A1:J19"/>
  <sheetViews>
    <sheetView showGridLines="0" zoomScale="90" zoomScaleNormal="90" workbookViewId="0">
      <selection activeCell="D18" sqref="D18"/>
    </sheetView>
  </sheetViews>
  <sheetFormatPr defaultColWidth="9" defaultRowHeight="15.6" x14ac:dyDescent="0.3"/>
  <cols>
    <col min="1" max="1" width="13.77734375" style="4" customWidth="1"/>
    <col min="2" max="2" width="18.5546875" style="4" customWidth="1"/>
    <col min="3" max="3" width="13.77734375" style="4" customWidth="1"/>
    <col min="4" max="4" width="28.77734375" style="4" customWidth="1"/>
    <col min="5" max="7" width="13.77734375" style="4" customWidth="1"/>
    <col min="8" max="8" width="37.21875" style="4" customWidth="1"/>
    <col min="9" max="16384" width="9" style="4"/>
  </cols>
  <sheetData>
    <row r="1" spans="1:8" x14ac:dyDescent="0.3">
      <c r="A1" s="7" t="s">
        <v>120</v>
      </c>
      <c r="F1" s="6"/>
      <c r="G1" s="6"/>
    </row>
    <row r="2" spans="1:8" x14ac:dyDescent="0.3">
      <c r="F2" s="6"/>
      <c r="G2" s="6"/>
    </row>
    <row r="3" spans="1:8" ht="46.8" x14ac:dyDescent="0.3">
      <c r="A3" s="23" t="s">
        <v>63</v>
      </c>
      <c r="B3" s="23" t="s">
        <v>121</v>
      </c>
      <c r="C3" s="23" t="s">
        <v>122</v>
      </c>
      <c r="D3" s="23" t="s">
        <v>123</v>
      </c>
      <c r="E3" s="23" t="s">
        <v>119</v>
      </c>
      <c r="F3" s="23" t="s">
        <v>60</v>
      </c>
      <c r="G3" s="42" t="s">
        <v>61</v>
      </c>
      <c r="H3" s="23" t="s">
        <v>26</v>
      </c>
    </row>
    <row r="4" spans="1:8" x14ac:dyDescent="0.3">
      <c r="A4"/>
      <c r="B4" s="25" t="s">
        <v>243</v>
      </c>
      <c r="C4" s="28"/>
      <c r="D4" s="29" t="s">
        <v>243</v>
      </c>
      <c r="E4" s="26"/>
      <c r="F4" s="102"/>
      <c r="G4" s="88">
        <f>IFERROR(INLNDWTR[[#This Row],[Total ($)]]/INLNDWTR[[#This Row],[Crown Volume (m3)]],)</f>
        <v>0</v>
      </c>
      <c r="H4" s="27"/>
    </row>
    <row r="5" spans="1:8" x14ac:dyDescent="0.3">
      <c r="A5"/>
      <c r="B5" s="25" t="s">
        <v>243</v>
      </c>
      <c r="C5" s="28"/>
      <c r="D5" s="29" t="s">
        <v>243</v>
      </c>
      <c r="E5" s="26"/>
      <c r="F5" s="102"/>
      <c r="G5" s="88">
        <f>IFERROR(INLNDWTR[[#This Row],[Total ($)]]/INLNDWTR[[#This Row],[Crown Volume (m3)]],)</f>
        <v>0</v>
      </c>
      <c r="H5" s="27"/>
    </row>
    <row r="6" spans="1:8" x14ac:dyDescent="0.3">
      <c r="A6"/>
      <c r="B6" s="25" t="s">
        <v>243</v>
      </c>
      <c r="C6" s="28"/>
      <c r="D6" s="29" t="s">
        <v>243</v>
      </c>
      <c r="E6" s="26"/>
      <c r="F6" s="102"/>
      <c r="G6" s="88">
        <f>IFERROR(INLNDWTR[[#This Row],[Total ($)]]/INLNDWTR[[#This Row],[Crown Volume (m3)]],)</f>
        <v>0</v>
      </c>
      <c r="H6" s="27"/>
    </row>
    <row r="7" spans="1:8" x14ac:dyDescent="0.3">
      <c r="A7"/>
      <c r="B7" s="25" t="s">
        <v>243</v>
      </c>
      <c r="C7" s="28"/>
      <c r="D7" s="29" t="s">
        <v>243</v>
      </c>
      <c r="E7" s="26"/>
      <c r="F7" s="102"/>
      <c r="G7" s="88">
        <f>IFERROR(INLNDWTR[[#This Row],[Total ($)]]/INLNDWTR[[#This Row],[Crown Volume (m3)]],)</f>
        <v>0</v>
      </c>
      <c r="H7" s="27"/>
    </row>
    <row r="8" spans="1:8" x14ac:dyDescent="0.3">
      <c r="A8"/>
      <c r="B8" s="25" t="s">
        <v>243</v>
      </c>
      <c r="C8" s="28"/>
      <c r="D8" s="29" t="s">
        <v>243</v>
      </c>
      <c r="E8" s="26"/>
      <c r="F8" s="102"/>
      <c r="G8" s="88">
        <f>IFERROR(INLNDWTR[[#This Row],[Total ($)]]/INLNDWTR[[#This Row],[Crown Volume (m3)]],)</f>
        <v>0</v>
      </c>
      <c r="H8" s="27"/>
    </row>
    <row r="9" spans="1:8" x14ac:dyDescent="0.3">
      <c r="A9"/>
      <c r="B9" s="25" t="s">
        <v>243</v>
      </c>
      <c r="C9" s="28"/>
      <c r="D9" s="29" t="s">
        <v>243</v>
      </c>
      <c r="E9" s="26"/>
      <c r="F9" s="102"/>
      <c r="G9" s="88">
        <f>IFERROR(INLNDWTR[[#This Row],[Total ($)]]/INLNDWTR[[#This Row],[Crown Volume (m3)]],)</f>
        <v>0</v>
      </c>
      <c r="H9" s="27"/>
    </row>
    <row r="10" spans="1:8" x14ac:dyDescent="0.3">
      <c r="A10"/>
      <c r="B10" s="25" t="s">
        <v>243</v>
      </c>
      <c r="C10" s="28"/>
      <c r="D10" s="29" t="s">
        <v>243</v>
      </c>
      <c r="E10" s="26"/>
      <c r="F10" s="102"/>
      <c r="G10" s="88">
        <f>IFERROR(INLNDWTR[[#This Row],[Total ($)]]/INLNDWTR[[#This Row],[Crown Volume (m3)]],)</f>
        <v>0</v>
      </c>
      <c r="H10" s="27"/>
    </row>
    <row r="11" spans="1:8" x14ac:dyDescent="0.3">
      <c r="A11"/>
      <c r="B11" s="25" t="s">
        <v>243</v>
      </c>
      <c r="C11" s="28"/>
      <c r="D11" s="29" t="s">
        <v>243</v>
      </c>
      <c r="E11" s="26"/>
      <c r="F11" s="102"/>
      <c r="G11" s="88">
        <f>IFERROR(INLNDWTR[[#This Row],[Total ($)]]/INLNDWTR[[#This Row],[Crown Volume (m3)]],)</f>
        <v>0</v>
      </c>
      <c r="H11" s="27"/>
    </row>
    <row r="12" spans="1:8" x14ac:dyDescent="0.3">
      <c r="A12"/>
      <c r="B12" s="25" t="s">
        <v>243</v>
      </c>
      <c r="C12" s="28"/>
      <c r="D12" s="29" t="s">
        <v>243</v>
      </c>
      <c r="E12" s="26"/>
      <c r="F12" s="102"/>
      <c r="G12" s="88">
        <f>IFERROR(INLNDWTR[[#This Row],[Total ($)]]/INLNDWTR[[#This Row],[Crown Volume (m3)]],)</f>
        <v>0</v>
      </c>
      <c r="H12" s="27"/>
    </row>
    <row r="13" spans="1:8" x14ac:dyDescent="0.3">
      <c r="A13"/>
      <c r="B13" s="25" t="s">
        <v>243</v>
      </c>
      <c r="C13" s="28"/>
      <c r="D13" s="29" t="s">
        <v>243</v>
      </c>
      <c r="E13" s="26"/>
      <c r="F13" s="102"/>
      <c r="G13" s="88">
        <f>IFERROR(INLNDWTR[[#This Row],[Total ($)]]/INLNDWTR[[#This Row],[Crown Volume (m3)]],)</f>
        <v>0</v>
      </c>
      <c r="H13" s="27"/>
    </row>
    <row r="14" spans="1:8" x14ac:dyDescent="0.3">
      <c r="A14" s="30"/>
      <c r="B14" s="30"/>
      <c r="C14" s="139"/>
      <c r="D14" s="30"/>
      <c r="E14" s="31">
        <f>SUBTOTAL(109,INLNDWTR[Total ($)])</f>
        <v>0</v>
      </c>
      <c r="F14" s="117">
        <f>SUBTOTAL(109,INLNDWTR[Crown Volume (m3)])</f>
        <v>0</v>
      </c>
      <c r="G14" s="128">
        <f>IFERROR(INLNDWTR[[#Totals],[Total ($)]]/INLNDWTR[[#Totals],[Crown Volume (m3)]],)</f>
        <v>0</v>
      </c>
      <c r="H14" s="30"/>
    </row>
    <row r="19" spans="10:10" x14ac:dyDescent="0.3">
      <c r="J19" s="78"/>
    </row>
  </sheetData>
  <pageMargins left="0.23622047244094491" right="0.23622047244094491" top="0.74803149606299213" bottom="0.74803149606299213" header="0.31496062992125984" footer="0.31496062992125984"/>
  <pageSetup paperSize="5" fitToHeight="0" orientation="landscape" r:id="rId1"/>
  <headerFooter alignWithMargins="0">
    <oddHeader>&amp;L&amp;"-,Bold"Ministry of Forests, Timber Pricing Branch, Coast Log Cost Survey; Tab:&amp;A</oddHeader>
    <oddFooter>&amp;L&amp;F&amp;CConfidential&amp;R&amp;P</oddFooter>
  </headerFooter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F04FE1D-73CE-4F7F-A4EA-584012F31F57}">
          <x14:formula1>
            <xm:f>LKUP!$B$16:$B$20</xm:f>
          </x14:formula1>
          <xm:sqref>B4:B13</xm:sqref>
        </x14:dataValidation>
        <x14:dataValidation type="list" allowBlank="1" showInputMessage="1" showErrorMessage="1" xr:uid="{9D2A908C-A3B3-42AC-9289-B827C502B0F2}">
          <x14:formula1>
            <xm:f>LKUP!$E$1:$E$4</xm:f>
          </x14:formula1>
          <xm:sqref>D4:D13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47F77-72DA-47EC-9CDC-67ABB4D6C6BC}">
  <sheetPr>
    <tabColor theme="4" tint="0.59999389629810485"/>
    <pageSetUpPr autoPageBreaks="0" fitToPage="1"/>
  </sheetPr>
  <dimension ref="A1:J21"/>
  <sheetViews>
    <sheetView showGridLines="0" zoomScale="90" zoomScaleNormal="90" workbookViewId="0">
      <selection activeCell="C20" sqref="C20"/>
    </sheetView>
  </sheetViews>
  <sheetFormatPr defaultColWidth="15.21875" defaultRowHeight="15.6" x14ac:dyDescent="0.3"/>
  <cols>
    <col min="1" max="1" width="14.77734375" style="20" customWidth="1"/>
    <col min="2" max="2" width="18.109375" style="20" customWidth="1"/>
    <col min="3" max="3" width="14.77734375" style="21" customWidth="1"/>
    <col min="4" max="4" width="14.77734375" style="20" customWidth="1"/>
    <col min="5" max="7" width="14.77734375" style="4" customWidth="1"/>
    <col min="8" max="8" width="34.77734375" style="4" customWidth="1"/>
    <col min="9" max="9" width="22.88671875" style="4" customWidth="1"/>
    <col min="10" max="16384" width="15.21875" style="4"/>
  </cols>
  <sheetData>
    <row r="1" spans="1:8" x14ac:dyDescent="0.3">
      <c r="A1" s="22" t="s">
        <v>51</v>
      </c>
    </row>
    <row r="3" spans="1:8" ht="31.2" x14ac:dyDescent="0.3">
      <c r="A3" s="32" t="s">
        <v>63</v>
      </c>
      <c r="B3" s="32" t="s">
        <v>124</v>
      </c>
      <c r="C3" s="32" t="s">
        <v>125</v>
      </c>
      <c r="D3" s="32" t="s">
        <v>126</v>
      </c>
      <c r="E3" s="32" t="s">
        <v>70</v>
      </c>
      <c r="F3" s="23" t="s">
        <v>127</v>
      </c>
      <c r="G3" s="33" t="s">
        <v>128</v>
      </c>
      <c r="H3" s="32" t="s">
        <v>26</v>
      </c>
    </row>
    <row r="4" spans="1:8" x14ac:dyDescent="0.3">
      <c r="A4" s="35"/>
      <c r="B4" s="25" t="s">
        <v>243</v>
      </c>
      <c r="C4" s="101"/>
      <c r="D4" s="100"/>
      <c r="E4" s="37"/>
      <c r="F4" s="34"/>
      <c r="G4" s="90">
        <f>IFERROR(CRNMOD[[#This Row],[Cost ($)]]/CRNMOD[[#This Row],[Number of Trees Treated]],)</f>
        <v>0</v>
      </c>
      <c r="H4" s="8"/>
    </row>
    <row r="5" spans="1:8" x14ac:dyDescent="0.3">
      <c r="A5" s="35"/>
      <c r="B5" s="25" t="s">
        <v>243</v>
      </c>
      <c r="C5" s="101"/>
      <c r="D5" s="100"/>
      <c r="E5" s="37"/>
      <c r="F5" s="34"/>
      <c r="G5" s="90">
        <f>IFERROR(CRNMOD[[#This Row],[Cost ($)]]/CRNMOD[[#This Row],[Number of Trees Treated]],)</f>
        <v>0</v>
      </c>
      <c r="H5" s="8"/>
    </row>
    <row r="6" spans="1:8" x14ac:dyDescent="0.3">
      <c r="A6" s="35"/>
      <c r="B6" s="25" t="s">
        <v>243</v>
      </c>
      <c r="C6" s="101"/>
      <c r="D6" s="100"/>
      <c r="E6" s="37"/>
      <c r="F6" s="34"/>
      <c r="G6" s="90">
        <f>IFERROR(CRNMOD[[#This Row],[Cost ($)]]/CRNMOD[[#This Row],[Number of Trees Treated]],)</f>
        <v>0</v>
      </c>
      <c r="H6" s="8"/>
    </row>
    <row r="7" spans="1:8" x14ac:dyDescent="0.3">
      <c r="A7" s="35"/>
      <c r="B7" s="25" t="s">
        <v>243</v>
      </c>
      <c r="C7" s="101"/>
      <c r="D7" s="100"/>
      <c r="E7" s="37"/>
      <c r="F7" s="34"/>
      <c r="G7" s="90">
        <f>IFERROR(CRNMOD[[#This Row],[Cost ($)]]/CRNMOD[[#This Row],[Number of Trees Treated]],)</f>
        <v>0</v>
      </c>
      <c r="H7" s="8"/>
    </row>
    <row r="8" spans="1:8" x14ac:dyDescent="0.3">
      <c r="A8" s="35"/>
      <c r="B8" s="25" t="s">
        <v>243</v>
      </c>
      <c r="C8" s="101"/>
      <c r="D8" s="100"/>
      <c r="E8" s="37"/>
      <c r="F8" s="34"/>
      <c r="G8" s="90">
        <f>IFERROR(CRNMOD[[#This Row],[Cost ($)]]/CRNMOD[[#This Row],[Number of Trees Treated]],)</f>
        <v>0</v>
      </c>
      <c r="H8" s="8"/>
    </row>
    <row r="9" spans="1:8" x14ac:dyDescent="0.3">
      <c r="A9" s="35"/>
      <c r="B9" s="25" t="s">
        <v>243</v>
      </c>
      <c r="C9" s="101"/>
      <c r="D9" s="100"/>
      <c r="E9" s="37"/>
      <c r="F9" s="34"/>
      <c r="G9" s="90">
        <f>IFERROR(CRNMOD[[#This Row],[Cost ($)]]/CRNMOD[[#This Row],[Number of Trees Treated]],)</f>
        <v>0</v>
      </c>
      <c r="H9" s="8"/>
    </row>
    <row r="10" spans="1:8" x14ac:dyDescent="0.3">
      <c r="A10" s="35"/>
      <c r="B10" s="25" t="s">
        <v>243</v>
      </c>
      <c r="C10" s="101"/>
      <c r="D10" s="100"/>
      <c r="E10" s="37"/>
      <c r="F10" s="34"/>
      <c r="G10" s="90">
        <f>IFERROR(CRNMOD[[#This Row],[Cost ($)]]/CRNMOD[[#This Row],[Number of Trees Treated]],)</f>
        <v>0</v>
      </c>
      <c r="H10" s="8"/>
    </row>
    <row r="11" spans="1:8" x14ac:dyDescent="0.3">
      <c r="A11" s="35"/>
      <c r="B11" s="25" t="s">
        <v>243</v>
      </c>
      <c r="C11" s="101"/>
      <c r="D11" s="100"/>
      <c r="E11" s="37"/>
      <c r="F11" s="34"/>
      <c r="G11" s="90">
        <f>IFERROR(CRNMOD[[#This Row],[Cost ($)]]/CRNMOD[[#This Row],[Number of Trees Treated]],)</f>
        <v>0</v>
      </c>
      <c r="H11" s="8"/>
    </row>
    <row r="12" spans="1:8" x14ac:dyDescent="0.3">
      <c r="A12" s="35"/>
      <c r="B12" s="25" t="s">
        <v>243</v>
      </c>
      <c r="C12" s="101"/>
      <c r="D12" s="100"/>
      <c r="E12" s="37"/>
      <c r="F12" s="34"/>
      <c r="G12" s="90">
        <f>IFERROR(CRNMOD[[#This Row],[Cost ($)]]/CRNMOD[[#This Row],[Number of Trees Treated]],)</f>
        <v>0</v>
      </c>
      <c r="H12" s="8"/>
    </row>
    <row r="13" spans="1:8" x14ac:dyDescent="0.3">
      <c r="A13" s="35"/>
      <c r="B13" s="25" t="s">
        <v>243</v>
      </c>
      <c r="C13" s="101"/>
      <c r="D13" s="100"/>
      <c r="E13" s="37"/>
      <c r="F13" s="34"/>
      <c r="G13" s="90">
        <f>IFERROR(CRNMOD[[#This Row],[Cost ($)]]/CRNMOD[[#This Row],[Number of Trees Treated]],)</f>
        <v>0</v>
      </c>
      <c r="H13" s="8"/>
    </row>
    <row r="14" spans="1:8" x14ac:dyDescent="0.3">
      <c r="A14" s="30"/>
      <c r="B14" s="30"/>
      <c r="C14" s="140">
        <f>SUBTOTAL(109,CRNMOD[Harvest Area Volume (m3)])</f>
        <v>0</v>
      </c>
      <c r="D14" s="141">
        <f>SUBTOTAL(109,CRNMOD[Harvest Area Treated (ha)])</f>
        <v>0</v>
      </c>
      <c r="E14" s="40">
        <f>SUBTOTAL(109,CRNMOD[Cost ($)])</f>
        <v>0</v>
      </c>
      <c r="F14" s="38">
        <f>SUBTOTAL(109,CRNMOD[Number of Trees Treated])</f>
        <v>0</v>
      </c>
      <c r="G14" s="142">
        <f>IFERROR(CRNMOD[[#Totals],[Cost ($)]]/CRNMOD[[#Totals],[Number of Trees Treated]],)</f>
        <v>0</v>
      </c>
      <c r="H14" s="30"/>
    </row>
    <row r="21" spans="10:10" x14ac:dyDescent="0.3">
      <c r="J21" s="78"/>
    </row>
  </sheetData>
  <pageMargins left="0.23622047244094491" right="0.23622047244094491" top="0.74803149606299213" bottom="0.74803149606299213" header="0.31496062992125984" footer="0.31496062992125984"/>
  <pageSetup paperSize="5" fitToHeight="0" orientation="landscape" r:id="rId1"/>
  <headerFooter alignWithMargins="0">
    <oddHeader>&amp;L&amp;"-,Bold"Ministry of Forests, Timber Pricing Branch, Coast Log Cost Survey; Tab:&amp;A</oddHeader>
    <oddFooter>&amp;L&amp;F&amp;CConfidential&amp;R&amp;P</oddFooter>
  </headerFooter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EC38C29-2505-436C-ACCC-138A4A9B27A6}">
          <x14:formula1>
            <xm:f>LKUP!$A$21:$A$24</xm:f>
          </x14:formula1>
          <xm:sqref>B4:B13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6B1130-0092-4022-B8D7-810119A5153D}">
  <sheetPr>
    <tabColor theme="4" tint="0.59999389629810485"/>
    <pageSetUpPr autoPageBreaks="0" fitToPage="1"/>
  </sheetPr>
  <dimension ref="A1:J21"/>
  <sheetViews>
    <sheetView showGridLines="0" zoomScale="90" zoomScaleNormal="90" workbookViewId="0">
      <selection activeCell="B18" sqref="B18"/>
    </sheetView>
  </sheetViews>
  <sheetFormatPr defaultColWidth="9" defaultRowHeight="15.6" x14ac:dyDescent="0.3"/>
  <cols>
    <col min="1" max="1" width="30.88671875" style="4" customWidth="1"/>
    <col min="2" max="6" width="15.77734375" style="4" customWidth="1"/>
    <col min="7" max="7" width="40.88671875" style="4" customWidth="1"/>
    <col min="8" max="8" width="12.21875" style="4" customWidth="1"/>
    <col min="9" max="9" width="20.77734375" style="4" customWidth="1"/>
    <col min="10" max="15" width="16.21875" style="4" customWidth="1"/>
    <col min="16" max="16384" width="9" style="4"/>
  </cols>
  <sheetData>
    <row r="1" spans="1:7" x14ac:dyDescent="0.3">
      <c r="A1" s="7" t="s">
        <v>53</v>
      </c>
      <c r="F1" s="6"/>
    </row>
    <row r="2" spans="1:7" x14ac:dyDescent="0.3">
      <c r="F2" s="6"/>
    </row>
    <row r="3" spans="1:7" s="5" customFormat="1" ht="31.2" x14ac:dyDescent="0.3">
      <c r="A3" s="16" t="s">
        <v>85</v>
      </c>
      <c r="B3" s="16" t="s">
        <v>129</v>
      </c>
      <c r="C3" s="16" t="s">
        <v>130</v>
      </c>
      <c r="D3" s="16" t="s">
        <v>131</v>
      </c>
      <c r="E3" s="16" t="s">
        <v>132</v>
      </c>
      <c r="F3" s="51" t="s">
        <v>133</v>
      </c>
      <c r="G3" s="16" t="s">
        <v>26</v>
      </c>
    </row>
    <row r="4" spans="1:7" x14ac:dyDescent="0.3">
      <c r="A4" s="80" t="s">
        <v>243</v>
      </c>
      <c r="B4" s="80"/>
      <c r="C4" s="80"/>
      <c r="D4" s="15"/>
      <c r="E4" s="14"/>
      <c r="F4" s="91"/>
      <c r="G4" s="85"/>
    </row>
    <row r="5" spans="1:7" x14ac:dyDescent="0.3">
      <c r="A5" s="80" t="s">
        <v>243</v>
      </c>
      <c r="B5" s="81"/>
      <c r="C5" s="81"/>
      <c r="D5" s="13"/>
      <c r="E5" s="12"/>
      <c r="F5" s="91"/>
      <c r="G5" s="85"/>
    </row>
    <row r="6" spans="1:7" x14ac:dyDescent="0.3">
      <c r="A6" s="80" t="s">
        <v>243</v>
      </c>
      <c r="B6" s="81"/>
      <c r="C6" s="81"/>
      <c r="D6" s="13"/>
      <c r="E6" s="12"/>
      <c r="F6" s="91"/>
      <c r="G6" s="85"/>
    </row>
    <row r="7" spans="1:7" x14ac:dyDescent="0.3">
      <c r="A7" s="80" t="s">
        <v>243</v>
      </c>
      <c r="B7" s="81"/>
      <c r="C7" s="81"/>
      <c r="D7" s="13"/>
      <c r="E7" s="12"/>
      <c r="F7" s="91"/>
      <c r="G7" s="85"/>
    </row>
    <row r="8" spans="1:7" x14ac:dyDescent="0.3">
      <c r="A8" s="80" t="s">
        <v>243</v>
      </c>
      <c r="B8" s="81"/>
      <c r="C8" s="81"/>
      <c r="D8" s="13"/>
      <c r="E8" s="12"/>
      <c r="F8" s="91"/>
      <c r="G8" s="85"/>
    </row>
    <row r="9" spans="1:7" x14ac:dyDescent="0.3">
      <c r="A9" s="80" t="s">
        <v>243</v>
      </c>
      <c r="B9" s="81"/>
      <c r="C9" s="81"/>
      <c r="D9" s="13"/>
      <c r="E9" s="12"/>
      <c r="F9" s="91"/>
      <c r="G9" s="85"/>
    </row>
    <row r="10" spans="1:7" x14ac:dyDescent="0.3">
      <c r="A10" s="80" t="s">
        <v>243</v>
      </c>
      <c r="B10" s="81"/>
      <c r="C10" s="81"/>
      <c r="D10" s="13"/>
      <c r="E10" s="12"/>
      <c r="F10" s="91"/>
      <c r="G10" s="85"/>
    </row>
    <row r="11" spans="1:7" x14ac:dyDescent="0.3">
      <c r="A11" s="80" t="s">
        <v>243</v>
      </c>
      <c r="B11" s="81"/>
      <c r="C11" s="81"/>
      <c r="D11" s="13"/>
      <c r="E11" s="12"/>
      <c r="F11" s="91"/>
      <c r="G11" s="85"/>
    </row>
    <row r="12" spans="1:7" x14ac:dyDescent="0.3">
      <c r="A12" s="80" t="s">
        <v>243</v>
      </c>
      <c r="B12" s="81"/>
      <c r="C12" s="81"/>
      <c r="D12" s="13"/>
      <c r="E12" s="12"/>
      <c r="F12" s="91"/>
      <c r="G12" s="85"/>
    </row>
    <row r="13" spans="1:7" x14ac:dyDescent="0.3">
      <c r="A13" s="80" t="s">
        <v>243</v>
      </c>
      <c r="B13" s="82"/>
      <c r="C13" s="82"/>
      <c r="D13" s="11"/>
      <c r="E13" s="10"/>
      <c r="F13" s="91"/>
      <c r="G13" s="86"/>
    </row>
    <row r="14" spans="1:7" x14ac:dyDescent="0.3">
      <c r="A14" s="83"/>
      <c r="B14" s="84"/>
      <c r="C14" s="84"/>
      <c r="D14" s="84"/>
      <c r="E14" s="84"/>
      <c r="F14" s="143"/>
      <c r="G14" s="87"/>
    </row>
    <row r="21" spans="10:10" x14ac:dyDescent="0.3">
      <c r="J21" s="78"/>
    </row>
  </sheetData>
  <pageMargins left="0.23622047244094491" right="0.23622047244094491" top="0.74803149606299213" bottom="0.74803149606299213" header="0.31496062992125984" footer="0.31496062992125984"/>
  <pageSetup paperSize="5" fitToHeight="0" orientation="landscape" r:id="rId1"/>
  <headerFooter alignWithMargins="0">
    <oddHeader>&amp;L&amp;"-,Bold"Ministry of Forests, Timber Pricing Branch, Coast Log Cost Survey; Tab:&amp;A</oddHeader>
    <oddFooter>&amp;L&amp;F&amp;CConfidential&amp;R&amp;P</oddFooter>
  </headerFooter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E18CD91-547D-406A-8CBC-B0DB19D88600}">
          <x14:formula1>
            <xm:f>LKUP!$E$20:$E$22</xm:f>
          </x14:formula1>
          <xm:sqref>A4:A13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3AC55-A948-4ABA-865C-C108C3BFF0F9}">
  <sheetPr>
    <tabColor theme="0" tint="-0.499984740745262"/>
    <pageSetUpPr autoPageBreaks="0" fitToPage="1"/>
  </sheetPr>
  <dimension ref="A1:M145"/>
  <sheetViews>
    <sheetView showGridLines="0" topLeftCell="A28" zoomScale="90" zoomScaleNormal="90" workbookViewId="0">
      <selection activeCell="C32" sqref="C32"/>
    </sheetView>
  </sheetViews>
  <sheetFormatPr defaultColWidth="9" defaultRowHeight="15.6" x14ac:dyDescent="0.3"/>
  <cols>
    <col min="1" max="1" width="32.21875" style="4" customWidth="1"/>
    <col min="2" max="2" width="18.109375" style="4" customWidth="1"/>
    <col min="3" max="3" width="46.6640625" style="4" customWidth="1"/>
    <col min="4" max="4" width="43.44140625" style="4" bestFit="1" customWidth="1"/>
    <col min="5" max="5" width="36" style="4" customWidth="1"/>
    <col min="6" max="13" width="8.109375" style="4" customWidth="1"/>
    <col min="14" max="16384" width="9" style="4"/>
  </cols>
  <sheetData>
    <row r="1" spans="1:13" x14ac:dyDescent="0.3">
      <c r="A1" s="4" t="s">
        <v>243</v>
      </c>
      <c r="B1" s="4" t="s">
        <v>243</v>
      </c>
      <c r="C1" s="4" t="s">
        <v>243</v>
      </c>
      <c r="D1" s="4" t="s">
        <v>243</v>
      </c>
      <c r="E1" s="4" t="s">
        <v>243</v>
      </c>
    </row>
    <row r="2" spans="1:13" x14ac:dyDescent="0.3">
      <c r="A2" s="4" t="s">
        <v>134</v>
      </c>
      <c r="B2" s="4" t="s">
        <v>135</v>
      </c>
      <c r="C2" s="4" t="s">
        <v>136</v>
      </c>
      <c r="D2" s="52" t="s">
        <v>137</v>
      </c>
      <c r="E2" s="4" t="s">
        <v>138</v>
      </c>
    </row>
    <row r="3" spans="1:13" x14ac:dyDescent="0.3">
      <c r="A3" s="4" t="s">
        <v>139</v>
      </c>
      <c r="B3" s="4" t="s">
        <v>140</v>
      </c>
      <c r="C3" s="4" t="s">
        <v>141</v>
      </c>
      <c r="D3" s="52" t="s">
        <v>142</v>
      </c>
      <c r="E3" s="4" t="s">
        <v>143</v>
      </c>
    </row>
    <row r="4" spans="1:13" x14ac:dyDescent="0.3">
      <c r="A4" s="4" t="s">
        <v>144</v>
      </c>
      <c r="D4" s="52" t="s">
        <v>145</v>
      </c>
      <c r="E4" s="4" t="s">
        <v>146</v>
      </c>
    </row>
    <row r="5" spans="1:13" x14ac:dyDescent="0.3">
      <c r="A5" s="4" t="s">
        <v>147</v>
      </c>
      <c r="B5" s="4" t="s">
        <v>243</v>
      </c>
      <c r="C5" s="4" t="s">
        <v>243</v>
      </c>
      <c r="D5" s="52" t="s">
        <v>148</v>
      </c>
    </row>
    <row r="6" spans="1:13" x14ac:dyDescent="0.3">
      <c r="A6" s="4" t="s">
        <v>149</v>
      </c>
      <c r="B6" s="4" t="s">
        <v>150</v>
      </c>
      <c r="C6" s="4" t="s">
        <v>226</v>
      </c>
      <c r="D6" s="52" t="s">
        <v>151</v>
      </c>
      <c r="E6" s="4" t="s">
        <v>243</v>
      </c>
    </row>
    <row r="7" spans="1:13" x14ac:dyDescent="0.3">
      <c r="A7" s="4" t="s">
        <v>152</v>
      </c>
      <c r="B7" s="4" t="s">
        <v>153</v>
      </c>
      <c r="C7" s="4" t="s">
        <v>227</v>
      </c>
      <c r="D7" s="52" t="s">
        <v>154</v>
      </c>
      <c r="E7" s="4" t="s">
        <v>155</v>
      </c>
    </row>
    <row r="8" spans="1:13" x14ac:dyDescent="0.3">
      <c r="A8" s="4" t="s">
        <v>156</v>
      </c>
      <c r="B8" s="4" t="s">
        <v>157</v>
      </c>
      <c r="C8" s="4" t="s">
        <v>228</v>
      </c>
      <c r="D8" s="52" t="s">
        <v>158</v>
      </c>
      <c r="E8" s="4" t="s">
        <v>159</v>
      </c>
    </row>
    <row r="9" spans="1:13" x14ac:dyDescent="0.3">
      <c r="A9" s="4" t="s">
        <v>161</v>
      </c>
      <c r="C9" s="4" t="s">
        <v>229</v>
      </c>
      <c r="D9" s="52" t="s">
        <v>262</v>
      </c>
      <c r="E9" s="4" t="s">
        <v>160</v>
      </c>
    </row>
    <row r="10" spans="1:13" x14ac:dyDescent="0.3">
      <c r="B10" s="4" t="s">
        <v>243</v>
      </c>
      <c r="C10" s="4" t="s">
        <v>161</v>
      </c>
      <c r="D10" s="52" t="s">
        <v>162</v>
      </c>
      <c r="E10" s="4" t="s">
        <v>163</v>
      </c>
    </row>
    <row r="11" spans="1:13" x14ac:dyDescent="0.3">
      <c r="A11" s="4" t="s">
        <v>243</v>
      </c>
      <c r="B11" s="4" t="s">
        <v>165</v>
      </c>
      <c r="E11" s="4" t="s">
        <v>166</v>
      </c>
    </row>
    <row r="12" spans="1:13" x14ac:dyDescent="0.3">
      <c r="A12" s="4" t="s">
        <v>164</v>
      </c>
      <c r="B12" s="4" t="s">
        <v>168</v>
      </c>
      <c r="C12" s="4" t="s">
        <v>243</v>
      </c>
      <c r="D12" s="4" t="s">
        <v>243</v>
      </c>
      <c r="E12" s="4" t="s">
        <v>169</v>
      </c>
    </row>
    <row r="13" spans="1:13" x14ac:dyDescent="0.3">
      <c r="A13" s="4" t="s">
        <v>167</v>
      </c>
      <c r="B13" s="4" t="s">
        <v>170</v>
      </c>
      <c r="C13" s="4" t="s">
        <v>165</v>
      </c>
      <c r="D13" s="4" t="s">
        <v>232</v>
      </c>
      <c r="E13" s="4" t="s">
        <v>172</v>
      </c>
    </row>
    <row r="14" spans="1:13" x14ac:dyDescent="0.3">
      <c r="B14" s="4" t="s">
        <v>173</v>
      </c>
      <c r="C14" s="4" t="s">
        <v>171</v>
      </c>
      <c r="D14" s="4" t="s">
        <v>233</v>
      </c>
    </row>
    <row r="15" spans="1:13" x14ac:dyDescent="0.3">
      <c r="A15" s="4" t="s">
        <v>243</v>
      </c>
      <c r="C15" s="4" t="s">
        <v>174</v>
      </c>
      <c r="D15" s="4" t="s">
        <v>234</v>
      </c>
      <c r="E15" s="4" t="s">
        <v>243</v>
      </c>
    </row>
    <row r="16" spans="1:13" x14ac:dyDescent="0.3">
      <c r="A16" s="4" t="s">
        <v>165</v>
      </c>
      <c r="B16" s="4" t="s">
        <v>243</v>
      </c>
      <c r="C16" s="4" t="s">
        <v>175</v>
      </c>
      <c r="D16" s="4" t="s">
        <v>235</v>
      </c>
      <c r="E16" s="4" t="s">
        <v>176</v>
      </c>
      <c r="H16" s="48"/>
      <c r="I16" s="69"/>
      <c r="J16" s="69"/>
      <c r="L16" s="65"/>
      <c r="M16" s="65"/>
    </row>
    <row r="17" spans="1:13" x14ac:dyDescent="0.3">
      <c r="A17" s="4" t="s">
        <v>168</v>
      </c>
      <c r="B17" s="4" t="s">
        <v>180</v>
      </c>
      <c r="D17" s="4" t="s">
        <v>236</v>
      </c>
      <c r="E17" s="4" t="s">
        <v>178</v>
      </c>
      <c r="H17" s="67"/>
      <c r="I17" s="70"/>
      <c r="J17" s="70"/>
      <c r="L17" s="65"/>
      <c r="M17" s="65"/>
    </row>
    <row r="18" spans="1:13" x14ac:dyDescent="0.3">
      <c r="A18" s="4" t="s">
        <v>177</v>
      </c>
      <c r="B18" s="4" t="s">
        <v>181</v>
      </c>
      <c r="C18" s="4" t="s">
        <v>243</v>
      </c>
      <c r="D18" s="4" t="s">
        <v>237</v>
      </c>
      <c r="E18" s="4" t="s">
        <v>162</v>
      </c>
      <c r="H18" s="5"/>
      <c r="I18" s="70"/>
      <c r="J18" s="70"/>
    </row>
    <row r="19" spans="1:13" x14ac:dyDescent="0.3">
      <c r="A19" s="4" t="s">
        <v>179</v>
      </c>
      <c r="B19" s="4" t="s">
        <v>184</v>
      </c>
      <c r="C19" s="4" t="s">
        <v>182</v>
      </c>
      <c r="D19" s="4" t="s">
        <v>238</v>
      </c>
      <c r="H19" s="5"/>
      <c r="I19" s="70"/>
      <c r="J19" s="70"/>
    </row>
    <row r="20" spans="1:13" x14ac:dyDescent="0.3">
      <c r="B20" s="4" t="s">
        <v>179</v>
      </c>
      <c r="C20" s="4" t="s">
        <v>185</v>
      </c>
      <c r="D20" s="4" t="s">
        <v>239</v>
      </c>
      <c r="E20" s="4" t="s">
        <v>243</v>
      </c>
      <c r="H20" s="5"/>
      <c r="I20" s="70"/>
      <c r="J20" s="70"/>
    </row>
    <row r="21" spans="1:13" x14ac:dyDescent="0.3">
      <c r="A21" s="4" t="s">
        <v>243</v>
      </c>
      <c r="C21" s="4" t="s">
        <v>187</v>
      </c>
      <c r="E21" s="4" t="s">
        <v>188</v>
      </c>
      <c r="H21" s="5"/>
      <c r="I21" s="70"/>
      <c r="J21" s="70"/>
    </row>
    <row r="22" spans="1:13" x14ac:dyDescent="0.3">
      <c r="A22" s="4" t="s">
        <v>183</v>
      </c>
      <c r="B22" s="4" t="s">
        <v>243</v>
      </c>
      <c r="C22" s="4" t="s">
        <v>189</v>
      </c>
      <c r="D22" s="4" t="s">
        <v>243</v>
      </c>
      <c r="E22" s="4" t="s">
        <v>190</v>
      </c>
      <c r="H22" s="67"/>
      <c r="I22" s="70"/>
      <c r="J22" s="77"/>
    </row>
    <row r="23" spans="1:13" x14ac:dyDescent="0.3">
      <c r="A23" s="4" t="s">
        <v>186</v>
      </c>
      <c r="B23" s="4" t="s">
        <v>194</v>
      </c>
      <c r="C23" s="4" t="s">
        <v>192</v>
      </c>
      <c r="D23" s="4" t="s">
        <v>196</v>
      </c>
      <c r="H23" s="5"/>
      <c r="I23" s="70"/>
      <c r="J23" s="70"/>
    </row>
    <row r="24" spans="1:13" x14ac:dyDescent="0.3">
      <c r="A24" s="4" t="s">
        <v>265</v>
      </c>
      <c r="B24" s="4" t="s">
        <v>198</v>
      </c>
      <c r="C24" s="4" t="s">
        <v>195</v>
      </c>
      <c r="D24" s="4" t="s">
        <v>200</v>
      </c>
      <c r="H24" s="5"/>
      <c r="I24" s="70"/>
      <c r="J24" s="70"/>
    </row>
    <row r="25" spans="1:13" x14ac:dyDescent="0.3">
      <c r="C25" s="4" t="s">
        <v>199</v>
      </c>
      <c r="D25" s="4" t="s">
        <v>203</v>
      </c>
      <c r="H25" s="5"/>
      <c r="I25" s="70"/>
      <c r="J25" s="70"/>
    </row>
    <row r="26" spans="1:13" x14ac:dyDescent="0.3">
      <c r="B26" s="4" t="s">
        <v>243</v>
      </c>
      <c r="C26" s="4" t="s">
        <v>202</v>
      </c>
      <c r="D26" s="4" t="s">
        <v>162</v>
      </c>
      <c r="H26" s="5"/>
      <c r="I26" s="70"/>
      <c r="J26" s="70"/>
    </row>
    <row r="27" spans="1:13" x14ac:dyDescent="0.3">
      <c r="B27" s="4" t="s">
        <v>207</v>
      </c>
      <c r="C27" s="4" t="s">
        <v>205</v>
      </c>
      <c r="E27" s="30"/>
      <c r="H27" s="5"/>
      <c r="I27" s="70"/>
      <c r="J27" s="70"/>
    </row>
    <row r="28" spans="1:13" x14ac:dyDescent="0.3">
      <c r="B28" s="4" t="s">
        <v>209</v>
      </c>
      <c r="C28" s="4" t="s">
        <v>179</v>
      </c>
      <c r="H28" s="5"/>
      <c r="I28" s="70"/>
      <c r="J28" s="70"/>
    </row>
    <row r="29" spans="1:13" x14ac:dyDescent="0.3">
      <c r="H29" s="5"/>
      <c r="I29" s="70"/>
      <c r="J29" s="70"/>
    </row>
    <row r="30" spans="1:13" x14ac:dyDescent="0.3">
      <c r="H30" s="5"/>
      <c r="I30" s="70"/>
      <c r="J30" s="70"/>
    </row>
    <row r="31" spans="1:13" x14ac:dyDescent="0.3">
      <c r="C31" s="4" t="s">
        <v>243</v>
      </c>
      <c r="H31" s="5"/>
      <c r="I31" s="70"/>
      <c r="J31" s="70"/>
    </row>
    <row r="32" spans="1:13" x14ac:dyDescent="0.3">
      <c r="A32" s="52" t="s">
        <v>191</v>
      </c>
      <c r="B32" s="4" t="s">
        <v>270</v>
      </c>
      <c r="C32" s="4" t="str">
        <f>A32&amp;" - "&amp;B32</f>
        <v>Barkley-Clayoquot - BKCL</v>
      </c>
      <c r="H32" s="5"/>
      <c r="I32" s="70"/>
      <c r="J32" s="70"/>
    </row>
    <row r="33" spans="1:10" x14ac:dyDescent="0.3">
      <c r="A33" s="52" t="s">
        <v>193</v>
      </c>
      <c r="B33" s="4" t="s">
        <v>271</v>
      </c>
      <c r="C33" s="4" t="str">
        <f t="shared" ref="C33:C55" si="0">A33&amp;" - "&amp;B33</f>
        <v>Bute Inlet - BUTE</v>
      </c>
      <c r="H33" s="5"/>
      <c r="I33" s="70"/>
      <c r="J33" s="70"/>
    </row>
    <row r="34" spans="1:10" x14ac:dyDescent="0.3">
      <c r="A34" s="52" t="s">
        <v>197</v>
      </c>
      <c r="B34" s="4" t="s">
        <v>272</v>
      </c>
      <c r="C34" s="4" t="str">
        <f t="shared" si="0"/>
        <v>Courtenay-Comox - COCO</v>
      </c>
      <c r="H34" s="67"/>
      <c r="I34" s="70"/>
      <c r="J34" s="70"/>
    </row>
    <row r="35" spans="1:10" x14ac:dyDescent="0.3">
      <c r="A35" s="52" t="s">
        <v>201</v>
      </c>
      <c r="B35" s="4" t="s">
        <v>273</v>
      </c>
      <c r="C35" s="4" t="str">
        <f t="shared" si="0"/>
        <v>Dewdney - DEWD</v>
      </c>
      <c r="H35" s="5"/>
      <c r="I35" s="70"/>
      <c r="J35" s="70"/>
    </row>
    <row r="36" spans="1:10" x14ac:dyDescent="0.3">
      <c r="A36" s="52" t="s">
        <v>204</v>
      </c>
      <c r="B36" s="4" t="s">
        <v>274</v>
      </c>
      <c r="C36" s="4" t="str">
        <f t="shared" si="0"/>
        <v>Drury-Seymour - DRSE</v>
      </c>
      <c r="H36" s="5"/>
      <c r="I36" s="70"/>
      <c r="J36" s="70"/>
    </row>
    <row r="37" spans="1:10" x14ac:dyDescent="0.3">
      <c r="A37" s="52" t="s">
        <v>206</v>
      </c>
      <c r="B37" s="4" t="s">
        <v>275</v>
      </c>
      <c r="C37" s="4" t="str">
        <f t="shared" si="0"/>
        <v>Esperanza - ESPE</v>
      </c>
      <c r="H37" s="5"/>
      <c r="I37" s="70"/>
      <c r="J37" s="70"/>
    </row>
    <row r="38" spans="1:10" x14ac:dyDescent="0.3">
      <c r="A38" s="52" t="s">
        <v>208</v>
      </c>
      <c r="B38" s="4" t="s">
        <v>276</v>
      </c>
      <c r="C38" s="4" t="str">
        <f t="shared" si="0"/>
        <v>Gilford-Knight - GKIN</v>
      </c>
      <c r="H38" s="5"/>
      <c r="I38" s="70"/>
      <c r="J38" s="70"/>
    </row>
    <row r="39" spans="1:10" x14ac:dyDescent="0.3">
      <c r="A39" s="52" t="s">
        <v>210</v>
      </c>
      <c r="B39" s="4" t="s">
        <v>277</v>
      </c>
      <c r="C39" s="4" t="str">
        <f t="shared" si="0"/>
        <v>Graham Island - GRIS</v>
      </c>
      <c r="H39" s="5"/>
      <c r="I39" s="70"/>
      <c r="J39" s="70"/>
    </row>
    <row r="40" spans="1:10" x14ac:dyDescent="0.3">
      <c r="A40" s="52" t="s">
        <v>211</v>
      </c>
      <c r="B40" s="4" t="s">
        <v>278</v>
      </c>
      <c r="C40" s="4" t="str">
        <f t="shared" si="0"/>
        <v>Harrison - HARR</v>
      </c>
      <c r="H40" s="67"/>
      <c r="I40" s="70"/>
      <c r="J40" s="70"/>
    </row>
    <row r="41" spans="1:10" x14ac:dyDescent="0.3">
      <c r="A41" s="52" t="s">
        <v>212</v>
      </c>
      <c r="B41" s="4" t="s">
        <v>279</v>
      </c>
      <c r="C41" s="4" t="str">
        <f t="shared" si="0"/>
        <v>Jervis-Sechelt - JEIS</v>
      </c>
      <c r="H41" s="5"/>
      <c r="I41" s="70"/>
      <c r="J41" s="70"/>
    </row>
    <row r="42" spans="1:10" x14ac:dyDescent="0.3">
      <c r="A42" s="52" t="s">
        <v>213</v>
      </c>
      <c r="B42" s="4" t="s">
        <v>280</v>
      </c>
      <c r="C42" s="4" t="str">
        <f t="shared" si="0"/>
        <v>Juan de Fuca - JUDF</v>
      </c>
      <c r="H42" s="5"/>
      <c r="I42" s="70"/>
      <c r="J42" s="70"/>
    </row>
    <row r="43" spans="1:10" x14ac:dyDescent="0.3">
      <c r="A43" s="52" t="s">
        <v>214</v>
      </c>
      <c r="B43" s="4" t="s">
        <v>281</v>
      </c>
      <c r="C43" s="4" t="str">
        <f t="shared" si="0"/>
        <v>Kelsey-Adam - KEAD</v>
      </c>
      <c r="H43" s="5"/>
      <c r="I43" s="70"/>
      <c r="J43" s="70"/>
    </row>
    <row r="44" spans="1:10" x14ac:dyDescent="0.3">
      <c r="A44" s="52" t="s">
        <v>215</v>
      </c>
      <c r="B44" s="4" t="s">
        <v>282</v>
      </c>
      <c r="C44" s="4" t="str">
        <f t="shared" si="0"/>
        <v>Kokish - KOKI</v>
      </c>
      <c r="H44" s="5"/>
      <c r="I44" s="70"/>
      <c r="J44" s="70"/>
    </row>
    <row r="45" spans="1:10" x14ac:dyDescent="0.3">
      <c r="A45" s="52" t="s">
        <v>216</v>
      </c>
      <c r="B45" s="4" t="s">
        <v>283</v>
      </c>
      <c r="C45" s="4" t="str">
        <f t="shared" si="0"/>
        <v>Menzies-Sayward Forest - MESF</v>
      </c>
      <c r="H45" s="5"/>
      <c r="I45" s="70"/>
      <c r="J45" s="70"/>
    </row>
    <row r="46" spans="1:10" x14ac:dyDescent="0.3">
      <c r="A46" s="52" t="s">
        <v>217</v>
      </c>
      <c r="B46" s="4" t="s">
        <v>284</v>
      </c>
      <c r="C46" s="4" t="str">
        <f t="shared" si="0"/>
        <v>Mid-Coast - MIDC</v>
      </c>
      <c r="H46" s="5"/>
      <c r="I46" s="70"/>
      <c r="J46" s="70"/>
    </row>
    <row r="47" spans="1:10" x14ac:dyDescent="0.3">
      <c r="A47" s="52" t="s">
        <v>218</v>
      </c>
      <c r="B47" s="4" t="s">
        <v>285</v>
      </c>
      <c r="C47" s="4" t="str">
        <f t="shared" si="0"/>
        <v>Nootka Sound - NOSO</v>
      </c>
      <c r="H47" s="5"/>
      <c r="I47" s="70"/>
      <c r="J47" s="70"/>
    </row>
    <row r="48" spans="1:10" x14ac:dyDescent="0.3">
      <c r="A48" s="52" t="s">
        <v>219</v>
      </c>
      <c r="B48" s="4" t="s">
        <v>286</v>
      </c>
      <c r="C48" s="4" t="str">
        <f t="shared" si="0"/>
        <v>North Coast - NTHC</v>
      </c>
      <c r="H48" s="67"/>
      <c r="I48" s="69"/>
      <c r="J48" s="71"/>
    </row>
    <row r="49" spans="1:11" x14ac:dyDescent="0.3">
      <c r="A49" s="52" t="s">
        <v>220</v>
      </c>
      <c r="B49" s="4" t="s">
        <v>287</v>
      </c>
      <c r="C49" s="4" t="str">
        <f t="shared" si="0"/>
        <v>Port McNeill-Hardy - POMH</v>
      </c>
      <c r="H49" s="67"/>
      <c r="I49" s="70"/>
      <c r="J49" s="70"/>
    </row>
    <row r="50" spans="1:11" x14ac:dyDescent="0.3">
      <c r="A50" s="52" t="s">
        <v>221</v>
      </c>
      <c r="B50" s="4" t="s">
        <v>288</v>
      </c>
      <c r="C50" s="4" t="str">
        <f t="shared" si="0"/>
        <v>Quatsino Sound - QUSO</v>
      </c>
      <c r="H50" s="5"/>
      <c r="I50" s="70"/>
      <c r="J50" s="70"/>
    </row>
    <row r="51" spans="1:11" x14ac:dyDescent="0.3">
      <c r="A51" s="52" t="s">
        <v>222</v>
      </c>
      <c r="B51" s="4" t="s">
        <v>289</v>
      </c>
      <c r="C51" s="4" t="str">
        <f t="shared" si="0"/>
        <v>Sloquet - SLOQ</v>
      </c>
      <c r="H51" s="5"/>
      <c r="I51" s="70"/>
      <c r="J51" s="70"/>
    </row>
    <row r="52" spans="1:11" x14ac:dyDescent="0.3">
      <c r="A52" s="52" t="s">
        <v>223</v>
      </c>
      <c r="B52" s="4" t="s">
        <v>290</v>
      </c>
      <c r="C52" s="4" t="str">
        <f t="shared" si="0"/>
        <v>Southeast Vancouver Island - SEVI</v>
      </c>
      <c r="H52" s="5"/>
      <c r="I52" s="70"/>
      <c r="J52" s="70"/>
    </row>
    <row r="53" spans="1:11" x14ac:dyDescent="0.3">
      <c r="A53" s="52" t="s">
        <v>224</v>
      </c>
      <c r="B53" s="4" t="s">
        <v>291</v>
      </c>
      <c r="C53" s="4" t="str">
        <f t="shared" si="0"/>
        <v>Squamish-Pemberton - SQPM</v>
      </c>
      <c r="H53" s="5"/>
      <c r="I53" s="70"/>
      <c r="J53" s="70"/>
    </row>
    <row r="54" spans="1:11" x14ac:dyDescent="0.3">
      <c r="A54" s="52" t="s">
        <v>169</v>
      </c>
      <c r="B54" s="4" t="s">
        <v>292</v>
      </c>
      <c r="C54" s="4" t="str">
        <f t="shared" si="0"/>
        <v>Sunshine Coast - SUCO</v>
      </c>
      <c r="H54" s="5"/>
      <c r="I54" s="70"/>
      <c r="J54" s="70"/>
    </row>
    <row r="55" spans="1:11" x14ac:dyDescent="0.3">
      <c r="A55" s="52" t="s">
        <v>225</v>
      </c>
      <c r="B55" s="4" t="s">
        <v>293</v>
      </c>
      <c r="C55" s="4" t="str">
        <f t="shared" si="0"/>
        <v>Thurlow - THUR</v>
      </c>
      <c r="H55" s="5"/>
      <c r="I55" s="70"/>
      <c r="J55" s="70"/>
    </row>
    <row r="56" spans="1:11" x14ac:dyDescent="0.3">
      <c r="H56" s="5"/>
      <c r="I56" s="70"/>
      <c r="J56" s="70"/>
    </row>
    <row r="57" spans="1:11" x14ac:dyDescent="0.3">
      <c r="H57" s="5"/>
      <c r="I57" s="70"/>
      <c r="J57" s="70"/>
    </row>
    <row r="58" spans="1:11" x14ac:dyDescent="0.3">
      <c r="H58" s="5"/>
      <c r="I58" s="71"/>
      <c r="J58" s="71"/>
      <c r="K58" s="47"/>
    </row>
    <row r="59" spans="1:11" x14ac:dyDescent="0.3">
      <c r="H59" s="47"/>
      <c r="I59" s="70"/>
      <c r="J59" s="70"/>
    </row>
    <row r="60" spans="1:11" x14ac:dyDescent="0.3">
      <c r="H60" s="5"/>
      <c r="I60" s="70"/>
      <c r="J60" s="70"/>
    </row>
    <row r="61" spans="1:11" x14ac:dyDescent="0.3">
      <c r="H61" s="5"/>
      <c r="I61" s="70"/>
      <c r="J61" s="70"/>
    </row>
    <row r="62" spans="1:11" x14ac:dyDescent="0.3">
      <c r="H62" s="5"/>
      <c r="I62" s="70"/>
      <c r="J62" s="70"/>
    </row>
    <row r="63" spans="1:11" x14ac:dyDescent="0.3">
      <c r="H63" s="5"/>
      <c r="I63" s="70"/>
      <c r="J63" s="70"/>
    </row>
    <row r="64" spans="1:11" x14ac:dyDescent="0.3">
      <c r="H64" s="47"/>
      <c r="I64" s="70"/>
      <c r="J64" s="70"/>
    </row>
    <row r="65" spans="8:10" x14ac:dyDescent="0.3">
      <c r="H65" s="5"/>
      <c r="I65" s="70"/>
      <c r="J65" s="70"/>
    </row>
    <row r="66" spans="8:10" x14ac:dyDescent="0.3">
      <c r="H66" s="5"/>
      <c r="I66" s="70"/>
      <c r="J66" s="70"/>
    </row>
    <row r="67" spans="8:10" x14ac:dyDescent="0.3">
      <c r="H67" s="5"/>
      <c r="I67" s="70"/>
      <c r="J67" s="70"/>
    </row>
    <row r="68" spans="8:10" x14ac:dyDescent="0.3">
      <c r="H68" s="5"/>
      <c r="I68" s="71"/>
      <c r="J68" s="71"/>
    </row>
    <row r="69" spans="8:10" x14ac:dyDescent="0.3">
      <c r="H69" s="5"/>
      <c r="I69" s="70"/>
      <c r="J69" s="70"/>
    </row>
    <row r="70" spans="8:10" x14ac:dyDescent="0.3">
      <c r="H70" s="5"/>
      <c r="I70" s="70"/>
      <c r="J70" s="70"/>
    </row>
    <row r="71" spans="8:10" x14ac:dyDescent="0.3">
      <c r="H71" s="5"/>
      <c r="I71" s="70"/>
      <c r="J71" s="70"/>
    </row>
    <row r="72" spans="8:10" x14ac:dyDescent="0.3">
      <c r="H72" s="5"/>
      <c r="I72" s="70"/>
      <c r="J72" s="70"/>
    </row>
    <row r="73" spans="8:10" x14ac:dyDescent="0.3">
      <c r="H73" s="5"/>
      <c r="I73" s="70"/>
      <c r="J73" s="70"/>
    </row>
    <row r="74" spans="8:10" x14ac:dyDescent="0.3">
      <c r="H74" s="5"/>
      <c r="I74" s="70"/>
      <c r="J74" s="70"/>
    </row>
    <row r="75" spans="8:10" x14ac:dyDescent="0.3">
      <c r="H75" s="5"/>
      <c r="I75" s="70"/>
      <c r="J75" s="70"/>
    </row>
    <row r="76" spans="8:10" x14ac:dyDescent="0.3">
      <c r="H76" s="5"/>
      <c r="I76" s="70"/>
      <c r="J76" s="70"/>
    </row>
    <row r="77" spans="8:10" x14ac:dyDescent="0.3">
      <c r="H77" s="5"/>
      <c r="I77" s="70"/>
      <c r="J77" s="70"/>
    </row>
    <row r="78" spans="8:10" x14ac:dyDescent="0.3">
      <c r="H78" s="5"/>
      <c r="I78" s="70"/>
      <c r="J78" s="70"/>
    </row>
    <row r="79" spans="8:10" x14ac:dyDescent="0.3">
      <c r="H79" s="5"/>
      <c r="I79" s="70"/>
      <c r="J79" s="70"/>
    </row>
    <row r="80" spans="8:10" x14ac:dyDescent="0.3">
      <c r="H80" s="66"/>
      <c r="I80" s="70"/>
      <c r="J80" s="70"/>
    </row>
    <row r="81" spans="8:10" x14ac:dyDescent="0.3">
      <c r="H81" s="68"/>
      <c r="I81" s="72"/>
      <c r="J81" s="70"/>
    </row>
    <row r="82" spans="8:10" x14ac:dyDescent="0.3">
      <c r="H82" s="68"/>
      <c r="I82" s="72"/>
      <c r="J82" s="70"/>
    </row>
    <row r="83" spans="8:10" x14ac:dyDescent="0.3">
      <c r="H83" s="68"/>
      <c r="I83" s="72"/>
      <c r="J83" s="70"/>
    </row>
    <row r="84" spans="8:10" x14ac:dyDescent="0.3">
      <c r="H84" s="68"/>
      <c r="I84" s="72"/>
      <c r="J84" s="70"/>
    </row>
    <row r="85" spans="8:10" x14ac:dyDescent="0.3">
      <c r="H85" s="68"/>
      <c r="I85" s="72"/>
      <c r="J85" s="70"/>
    </row>
    <row r="86" spans="8:10" x14ac:dyDescent="0.3">
      <c r="H86" s="68"/>
      <c r="I86" s="72"/>
      <c r="J86" s="70"/>
    </row>
    <row r="87" spans="8:10" x14ac:dyDescent="0.3">
      <c r="H87" s="68"/>
      <c r="I87" s="72"/>
      <c r="J87" s="70"/>
    </row>
    <row r="88" spans="8:10" x14ac:dyDescent="0.3">
      <c r="H88" s="68"/>
      <c r="I88" s="72"/>
      <c r="J88" s="70"/>
    </row>
    <row r="89" spans="8:10" x14ac:dyDescent="0.3">
      <c r="H89" s="68"/>
      <c r="I89" s="72"/>
      <c r="J89" s="70"/>
    </row>
    <row r="90" spans="8:10" x14ac:dyDescent="0.3">
      <c r="H90" s="68"/>
      <c r="I90" s="72"/>
      <c r="J90" s="70"/>
    </row>
    <row r="91" spans="8:10" x14ac:dyDescent="0.3">
      <c r="H91" s="66"/>
      <c r="I91" s="72"/>
      <c r="J91" s="70"/>
    </row>
    <row r="92" spans="8:10" x14ac:dyDescent="0.3">
      <c r="H92" s="68"/>
      <c r="I92" s="72"/>
      <c r="J92" s="70"/>
    </row>
    <row r="93" spans="8:10" x14ac:dyDescent="0.3">
      <c r="H93" s="68"/>
      <c r="I93" s="72"/>
      <c r="J93" s="70"/>
    </row>
    <row r="94" spans="8:10" x14ac:dyDescent="0.3">
      <c r="H94" s="68"/>
      <c r="I94" s="72"/>
      <c r="J94" s="70"/>
    </row>
    <row r="95" spans="8:10" x14ac:dyDescent="0.3">
      <c r="H95" s="68"/>
      <c r="I95" s="72"/>
      <c r="J95" s="70"/>
    </row>
    <row r="96" spans="8:10" x14ac:dyDescent="0.3">
      <c r="H96" s="68"/>
      <c r="I96" s="72"/>
      <c r="J96" s="70"/>
    </row>
    <row r="97" spans="8:10" x14ac:dyDescent="0.3">
      <c r="H97" s="68"/>
      <c r="I97" s="72"/>
      <c r="J97" s="70"/>
    </row>
    <row r="98" spans="8:10" x14ac:dyDescent="0.3">
      <c r="H98" s="68"/>
      <c r="I98" s="72"/>
      <c r="J98" s="70"/>
    </row>
    <row r="99" spans="8:10" x14ac:dyDescent="0.3">
      <c r="H99" s="68"/>
      <c r="I99" s="72"/>
      <c r="J99" s="70"/>
    </row>
    <row r="100" spans="8:10" x14ac:dyDescent="0.3">
      <c r="H100" s="68"/>
      <c r="I100" s="72"/>
      <c r="J100" s="70"/>
    </row>
    <row r="101" spans="8:10" x14ac:dyDescent="0.3">
      <c r="H101" s="68"/>
      <c r="I101" s="72"/>
      <c r="J101" s="70"/>
    </row>
    <row r="102" spans="8:10" x14ac:dyDescent="0.3">
      <c r="H102" s="68"/>
      <c r="I102" s="72"/>
      <c r="J102" s="70"/>
    </row>
    <row r="103" spans="8:10" x14ac:dyDescent="0.3">
      <c r="H103" s="66"/>
      <c r="I103" s="72"/>
      <c r="J103" s="70"/>
    </row>
    <row r="104" spans="8:10" x14ac:dyDescent="0.3">
      <c r="H104" s="68"/>
      <c r="I104" s="72"/>
      <c r="J104" s="70"/>
    </row>
    <row r="105" spans="8:10" x14ac:dyDescent="0.3">
      <c r="H105" s="68"/>
      <c r="I105" s="72"/>
      <c r="J105" s="70"/>
    </row>
    <row r="106" spans="8:10" x14ac:dyDescent="0.3">
      <c r="H106" s="68"/>
      <c r="I106" s="72"/>
      <c r="J106" s="70"/>
    </row>
    <row r="107" spans="8:10" x14ac:dyDescent="0.3">
      <c r="H107" s="68"/>
      <c r="I107" s="72"/>
      <c r="J107" s="70"/>
    </row>
    <row r="108" spans="8:10" x14ac:dyDescent="0.3">
      <c r="H108" s="68"/>
      <c r="I108" s="72"/>
      <c r="J108" s="70"/>
    </row>
    <row r="109" spans="8:10" x14ac:dyDescent="0.3">
      <c r="H109" s="68"/>
      <c r="I109" s="72"/>
      <c r="J109" s="70"/>
    </row>
    <row r="110" spans="8:10" x14ac:dyDescent="0.3">
      <c r="H110" s="66"/>
      <c r="I110" s="72"/>
      <c r="J110" s="70"/>
    </row>
    <row r="111" spans="8:10" x14ac:dyDescent="0.3">
      <c r="H111" s="68"/>
      <c r="I111" s="72"/>
      <c r="J111" s="70"/>
    </row>
    <row r="112" spans="8:10" x14ac:dyDescent="0.3">
      <c r="H112" s="68"/>
      <c r="I112" s="72"/>
      <c r="J112" s="70"/>
    </row>
    <row r="113" spans="8:10" x14ac:dyDescent="0.3">
      <c r="H113" s="68"/>
      <c r="I113" s="72"/>
      <c r="J113" s="70"/>
    </row>
    <row r="114" spans="8:10" x14ac:dyDescent="0.3">
      <c r="H114" s="68"/>
      <c r="I114" s="72"/>
      <c r="J114" s="70"/>
    </row>
    <row r="115" spans="8:10" x14ac:dyDescent="0.3">
      <c r="H115" s="68"/>
      <c r="I115" s="72"/>
      <c r="J115" s="70"/>
    </row>
    <row r="116" spans="8:10" x14ac:dyDescent="0.3">
      <c r="H116" s="68"/>
      <c r="I116" s="72"/>
      <c r="J116" s="70"/>
    </row>
    <row r="117" spans="8:10" x14ac:dyDescent="0.3">
      <c r="H117" s="68"/>
      <c r="I117" s="72"/>
      <c r="J117" s="70"/>
    </row>
    <row r="118" spans="8:10" x14ac:dyDescent="0.3">
      <c r="H118" s="68"/>
      <c r="I118" s="72"/>
      <c r="J118" s="70"/>
    </row>
    <row r="119" spans="8:10" x14ac:dyDescent="0.3">
      <c r="H119" s="68"/>
      <c r="I119" s="72"/>
      <c r="J119" s="70"/>
    </row>
    <row r="120" spans="8:10" x14ac:dyDescent="0.3">
      <c r="H120" s="68"/>
      <c r="I120" s="72"/>
      <c r="J120" s="70"/>
    </row>
    <row r="121" spans="8:10" x14ac:dyDescent="0.3">
      <c r="H121" s="68"/>
      <c r="I121" s="72"/>
      <c r="J121" s="70"/>
    </row>
    <row r="122" spans="8:10" x14ac:dyDescent="0.3">
      <c r="H122" s="68"/>
      <c r="I122" s="72"/>
      <c r="J122" s="70"/>
    </row>
    <row r="123" spans="8:10" x14ac:dyDescent="0.3">
      <c r="H123" s="68"/>
      <c r="I123" s="72"/>
      <c r="J123" s="70"/>
    </row>
    <row r="124" spans="8:10" x14ac:dyDescent="0.3">
      <c r="H124" s="68"/>
      <c r="I124" s="72"/>
      <c r="J124" s="70"/>
    </row>
    <row r="125" spans="8:10" x14ac:dyDescent="0.3">
      <c r="H125" s="68"/>
      <c r="I125" s="72"/>
      <c r="J125" s="70"/>
    </row>
    <row r="126" spans="8:10" x14ac:dyDescent="0.3">
      <c r="H126" s="68"/>
      <c r="I126" s="72"/>
      <c r="J126" s="70"/>
    </row>
    <row r="127" spans="8:10" x14ac:dyDescent="0.3">
      <c r="H127" s="68"/>
      <c r="I127" s="72"/>
      <c r="J127" s="70"/>
    </row>
    <row r="145" spans="8:9" x14ac:dyDescent="0.3">
      <c r="H145" s="30"/>
      <c r="I145" s="30"/>
    </row>
  </sheetData>
  <pageMargins left="0.23622047244094491" right="0.23622047244094491" top="0.74803149606299213" bottom="0.74803149606299213" header="0.31496062992125984" footer="0.31496062992125984"/>
  <pageSetup paperSize="5" fitToHeight="0" orientation="landscape" r:id="rId1"/>
  <headerFooter alignWithMargins="0">
    <oddHeader>&amp;L&amp;"-,Bold"Ministry of Forests, Timber Pricing Branch, Coast Log Cost Survey; Tab:&amp;A</oddHeader>
    <oddFooter>&amp;L&amp;F&amp;CConfidential&amp;R&amp;P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BE088-5ACF-4911-B92C-26EEAFB83080}">
  <sheetPr>
    <tabColor theme="0" tint="-0.499984740745262"/>
    <pageSetUpPr autoPageBreaks="0" fitToPage="1"/>
  </sheetPr>
  <dimension ref="A1:I38"/>
  <sheetViews>
    <sheetView showGridLines="0" zoomScale="160" zoomScaleNormal="160" workbookViewId="0">
      <selection activeCell="B8" sqref="B8"/>
    </sheetView>
  </sheetViews>
  <sheetFormatPr defaultColWidth="8.77734375" defaultRowHeight="15.6" x14ac:dyDescent="0.3"/>
  <cols>
    <col min="1" max="1" width="25.88671875" style="1" customWidth="1"/>
    <col min="2" max="2" width="38.109375" style="3" customWidth="1"/>
    <col min="3" max="4" width="20.5546875" style="2" customWidth="1"/>
    <col min="5" max="8" width="15.21875" style="76" customWidth="1"/>
    <col min="9" max="9" width="36" style="1" customWidth="1"/>
    <col min="10" max="16384" width="8.77734375" style="1"/>
  </cols>
  <sheetData>
    <row r="1" spans="1:9" s="167" customFormat="1" ht="16.2" thickBot="1" x14ac:dyDescent="0.35">
      <c r="A1" s="176" t="s">
        <v>24</v>
      </c>
      <c r="B1" s="177"/>
      <c r="C1" s="178"/>
      <c r="D1" s="178"/>
      <c r="E1" s="179"/>
      <c r="F1" s="179"/>
      <c r="G1" s="179"/>
      <c r="H1" s="179"/>
    </row>
    <row r="2" spans="1:9" s="167" customFormat="1" x14ac:dyDescent="0.3">
      <c r="B2" s="176"/>
      <c r="C2" s="180" t="s">
        <v>230</v>
      </c>
      <c r="D2" s="181" t="s">
        <v>264</v>
      </c>
      <c r="E2" s="182" t="s">
        <v>258</v>
      </c>
      <c r="F2" s="183" t="s">
        <v>241</v>
      </c>
      <c r="G2" s="183" t="s">
        <v>263</v>
      </c>
      <c r="H2" s="183" t="s">
        <v>259</v>
      </c>
      <c r="I2" s="183" t="s">
        <v>26</v>
      </c>
    </row>
    <row r="3" spans="1:9" s="167" customFormat="1" ht="16.2" thickBot="1" x14ac:dyDescent="0.35">
      <c r="B3" s="177"/>
      <c r="C3" s="184"/>
      <c r="D3" s="185"/>
      <c r="E3" s="182"/>
      <c r="F3" s="183"/>
      <c r="G3" s="183"/>
      <c r="H3" s="183"/>
      <c r="I3" s="183"/>
    </row>
    <row r="4" spans="1:9" s="167" customFormat="1" ht="16.5" customHeight="1" x14ac:dyDescent="0.3">
      <c r="A4" s="186" t="s">
        <v>25</v>
      </c>
      <c r="B4" s="187"/>
      <c r="C4" s="188"/>
      <c r="D4" s="189"/>
      <c r="E4" s="182"/>
      <c r="F4" s="183"/>
      <c r="G4" s="183"/>
      <c r="H4" s="183"/>
      <c r="I4" s="183"/>
    </row>
    <row r="5" spans="1:9" x14ac:dyDescent="0.3">
      <c r="A5" s="156" t="s">
        <v>27</v>
      </c>
      <c r="B5" s="157"/>
      <c r="C5" s="147">
        <f>C6+C15+C21+C25+C31+C36</f>
        <v>0</v>
      </c>
      <c r="D5" s="147">
        <f>D6+D15+D21+D25+D31+D36</f>
        <v>0</v>
      </c>
      <c r="E5" s="146">
        <f>IFERROR($C5/$C$4,)</f>
        <v>0</v>
      </c>
      <c r="F5" s="122">
        <f>IFERROR($D5/$D$4,)</f>
        <v>0</v>
      </c>
      <c r="G5" s="122">
        <f>IF(OR($C$4=0,$D$4=0),0,F5-E5)</f>
        <v>0</v>
      </c>
      <c r="H5" s="122">
        <f>IFERROR(SUM($C5:$D5)/SUM($C$4:$D$4),)</f>
        <v>0</v>
      </c>
      <c r="I5" s="121"/>
    </row>
    <row r="6" spans="1:9" x14ac:dyDescent="0.3">
      <c r="A6" s="158" t="s">
        <v>28</v>
      </c>
      <c r="B6" s="159"/>
      <c r="C6" s="147">
        <f>SUM(C7:C14)</f>
        <v>0</v>
      </c>
      <c r="D6" s="147">
        <f>SUM(D7:D14)</f>
        <v>0</v>
      </c>
      <c r="E6" s="146">
        <f t="shared" ref="E6:E19" si="0">IFERROR($C6/$C$4,)</f>
        <v>0</v>
      </c>
      <c r="F6" s="122">
        <f t="shared" ref="F6:F19" si="1">IFERROR($D6/$D$4,)</f>
        <v>0</v>
      </c>
      <c r="G6" s="122">
        <f t="shared" ref="G6:G19" si="2">IF(OR($C$4=0,$D$4=0),0,F6-E6)</f>
        <v>0</v>
      </c>
      <c r="H6" s="122">
        <f t="shared" ref="H6:H19" si="3">IFERROR(SUM($C6:$D6)/SUM($C$4:$D$4),)</f>
        <v>0</v>
      </c>
      <c r="I6" s="121"/>
    </row>
    <row r="7" spans="1:9" s="167" customFormat="1" x14ac:dyDescent="0.3">
      <c r="A7" s="170" t="s">
        <v>29</v>
      </c>
      <c r="B7" s="171" t="s">
        <v>30</v>
      </c>
      <c r="C7" s="162"/>
      <c r="D7" s="163"/>
      <c r="E7" s="164">
        <f t="shared" si="0"/>
        <v>0</v>
      </c>
      <c r="F7" s="165">
        <f t="shared" si="1"/>
        <v>0</v>
      </c>
      <c r="G7" s="165">
        <f t="shared" si="2"/>
        <v>0</v>
      </c>
      <c r="H7" s="165">
        <f t="shared" si="3"/>
        <v>0</v>
      </c>
      <c r="I7" s="166"/>
    </row>
    <row r="8" spans="1:9" s="167" customFormat="1" x14ac:dyDescent="0.3">
      <c r="A8" s="170" t="s">
        <v>31</v>
      </c>
      <c r="B8" s="171" t="s">
        <v>32</v>
      </c>
      <c r="C8" s="162"/>
      <c r="D8" s="163"/>
      <c r="E8" s="164">
        <f t="shared" si="0"/>
        <v>0</v>
      </c>
      <c r="F8" s="165">
        <f t="shared" si="1"/>
        <v>0</v>
      </c>
      <c r="G8" s="165">
        <f t="shared" si="2"/>
        <v>0</v>
      </c>
      <c r="H8" s="165">
        <f t="shared" si="3"/>
        <v>0</v>
      </c>
      <c r="I8" s="166"/>
    </row>
    <row r="9" spans="1:9" s="167" customFormat="1" x14ac:dyDescent="0.3">
      <c r="A9" s="170" t="s">
        <v>33</v>
      </c>
      <c r="B9" s="171" t="s">
        <v>34</v>
      </c>
      <c r="C9" s="162"/>
      <c r="D9" s="163"/>
      <c r="E9" s="164">
        <f t="shared" si="0"/>
        <v>0</v>
      </c>
      <c r="F9" s="165">
        <f t="shared" si="1"/>
        <v>0</v>
      </c>
      <c r="G9" s="165">
        <f t="shared" si="2"/>
        <v>0</v>
      </c>
      <c r="H9" s="165">
        <f t="shared" si="3"/>
        <v>0</v>
      </c>
      <c r="I9" s="166"/>
    </row>
    <row r="10" spans="1:9" s="167" customFormat="1" x14ac:dyDescent="0.3">
      <c r="A10" s="170" t="s">
        <v>35</v>
      </c>
      <c r="B10" s="171" t="s">
        <v>36</v>
      </c>
      <c r="C10" s="162"/>
      <c r="D10" s="163"/>
      <c r="E10" s="164">
        <f t="shared" si="0"/>
        <v>0</v>
      </c>
      <c r="F10" s="165">
        <f t="shared" si="1"/>
        <v>0</v>
      </c>
      <c r="G10" s="165">
        <f t="shared" si="2"/>
        <v>0</v>
      </c>
      <c r="H10" s="165">
        <f t="shared" si="3"/>
        <v>0</v>
      </c>
      <c r="I10" s="166"/>
    </row>
    <row r="11" spans="1:9" s="167" customFormat="1" x14ac:dyDescent="0.3">
      <c r="A11" s="170" t="s">
        <v>37</v>
      </c>
      <c r="B11" s="171" t="s">
        <v>38</v>
      </c>
      <c r="C11" s="162"/>
      <c r="D11" s="163"/>
      <c r="E11" s="164">
        <f t="shared" si="0"/>
        <v>0</v>
      </c>
      <c r="F11" s="165">
        <f t="shared" si="1"/>
        <v>0</v>
      </c>
      <c r="G11" s="165">
        <f t="shared" si="2"/>
        <v>0</v>
      </c>
      <c r="H11" s="165">
        <f t="shared" si="3"/>
        <v>0</v>
      </c>
      <c r="I11" s="166"/>
    </row>
    <row r="12" spans="1:9" s="167" customFormat="1" x14ac:dyDescent="0.3">
      <c r="A12" s="170" t="s">
        <v>39</v>
      </c>
      <c r="B12" s="171" t="s">
        <v>40</v>
      </c>
      <c r="C12" s="162"/>
      <c r="D12" s="163"/>
      <c r="E12" s="164">
        <f t="shared" si="0"/>
        <v>0</v>
      </c>
      <c r="F12" s="165">
        <f t="shared" si="1"/>
        <v>0</v>
      </c>
      <c r="G12" s="165">
        <f t="shared" si="2"/>
        <v>0</v>
      </c>
      <c r="H12" s="165">
        <f t="shared" si="3"/>
        <v>0</v>
      </c>
      <c r="I12" s="166"/>
    </row>
    <row r="13" spans="1:9" s="167" customFormat="1" x14ac:dyDescent="0.3">
      <c r="A13" s="170" t="s">
        <v>41</v>
      </c>
      <c r="B13" s="171" t="s">
        <v>42</v>
      </c>
      <c r="C13" s="162"/>
      <c r="D13" s="163"/>
      <c r="E13" s="164">
        <f t="shared" si="0"/>
        <v>0</v>
      </c>
      <c r="F13" s="165">
        <f t="shared" si="1"/>
        <v>0</v>
      </c>
      <c r="G13" s="165">
        <f t="shared" si="2"/>
        <v>0</v>
      </c>
      <c r="H13" s="165">
        <f t="shared" si="3"/>
        <v>0</v>
      </c>
      <c r="I13" s="166"/>
    </row>
    <row r="14" spans="1:9" s="167" customFormat="1" x14ac:dyDescent="0.3">
      <c r="A14" s="170" t="s">
        <v>43</v>
      </c>
      <c r="B14" s="171" t="s">
        <v>44</v>
      </c>
      <c r="C14" s="162"/>
      <c r="D14" s="163"/>
      <c r="E14" s="164">
        <f t="shared" si="0"/>
        <v>0</v>
      </c>
      <c r="F14" s="165">
        <f t="shared" si="1"/>
        <v>0</v>
      </c>
      <c r="G14" s="165">
        <f t="shared" si="2"/>
        <v>0</v>
      </c>
      <c r="H14" s="165">
        <f t="shared" si="3"/>
        <v>0</v>
      </c>
      <c r="I14" s="166"/>
    </row>
    <row r="15" spans="1:9" x14ac:dyDescent="0.3">
      <c r="A15" s="109" t="s">
        <v>45</v>
      </c>
      <c r="B15" s="145"/>
      <c r="C15" s="148">
        <f>SUM(C16:C20)</f>
        <v>0</v>
      </c>
      <c r="D15" s="148">
        <f>SUM(D16:D20)</f>
        <v>0</v>
      </c>
      <c r="E15" s="146">
        <f t="shared" si="0"/>
        <v>0</v>
      </c>
      <c r="F15" s="122">
        <f t="shared" si="1"/>
        <v>0</v>
      </c>
      <c r="G15" s="122">
        <f t="shared" si="2"/>
        <v>0</v>
      </c>
      <c r="H15" s="122">
        <f t="shared" si="3"/>
        <v>0</v>
      </c>
      <c r="I15" s="121"/>
    </row>
    <row r="16" spans="1:9" s="167" customFormat="1" x14ac:dyDescent="0.3">
      <c r="A16" s="170" t="s">
        <v>240</v>
      </c>
      <c r="B16" s="171" t="s">
        <v>110</v>
      </c>
      <c r="C16" s="162"/>
      <c r="D16" s="163"/>
      <c r="E16" s="164">
        <f t="shared" si="0"/>
        <v>0</v>
      </c>
      <c r="F16" s="165">
        <f t="shared" si="1"/>
        <v>0</v>
      </c>
      <c r="G16" s="165">
        <f t="shared" si="2"/>
        <v>0</v>
      </c>
      <c r="H16" s="165">
        <f t="shared" si="3"/>
        <v>0</v>
      </c>
      <c r="I16" s="166"/>
    </row>
    <row r="17" spans="1:9" s="167" customFormat="1" x14ac:dyDescent="0.3">
      <c r="A17" s="170" t="s">
        <v>46</v>
      </c>
      <c r="B17" s="171" t="s">
        <v>47</v>
      </c>
      <c r="C17" s="162"/>
      <c r="D17" s="163"/>
      <c r="E17" s="164">
        <f t="shared" si="0"/>
        <v>0</v>
      </c>
      <c r="F17" s="165">
        <f t="shared" si="1"/>
        <v>0</v>
      </c>
      <c r="G17" s="165">
        <f t="shared" si="2"/>
        <v>0</v>
      </c>
      <c r="H17" s="165">
        <f t="shared" si="3"/>
        <v>0</v>
      </c>
      <c r="I17" s="166"/>
    </row>
    <row r="18" spans="1:9" s="167" customFormat="1" x14ac:dyDescent="0.3">
      <c r="A18" s="170" t="s">
        <v>48</v>
      </c>
      <c r="B18" s="171" t="s">
        <v>49</v>
      </c>
      <c r="C18" s="162"/>
      <c r="D18" s="163"/>
      <c r="E18" s="164">
        <f t="shared" si="0"/>
        <v>0</v>
      </c>
      <c r="F18" s="165">
        <f t="shared" si="1"/>
        <v>0</v>
      </c>
      <c r="G18" s="165">
        <f t="shared" si="2"/>
        <v>0</v>
      </c>
      <c r="H18" s="165">
        <f t="shared" si="3"/>
        <v>0</v>
      </c>
      <c r="I18" s="166"/>
    </row>
    <row r="19" spans="1:9" s="167" customFormat="1" x14ac:dyDescent="0.3">
      <c r="A19" s="170" t="s">
        <v>50</v>
      </c>
      <c r="B19" s="171" t="s">
        <v>51</v>
      </c>
      <c r="C19" s="162"/>
      <c r="D19" s="163"/>
      <c r="E19" s="164">
        <f t="shared" si="0"/>
        <v>0</v>
      </c>
      <c r="F19" s="165">
        <f t="shared" si="1"/>
        <v>0</v>
      </c>
      <c r="G19" s="165">
        <f t="shared" si="2"/>
        <v>0</v>
      </c>
      <c r="H19" s="165">
        <f t="shared" si="3"/>
        <v>0</v>
      </c>
      <c r="I19" s="166"/>
    </row>
    <row r="20" spans="1:9" s="167" customFormat="1" x14ac:dyDescent="0.3">
      <c r="A20" s="170" t="s">
        <v>52</v>
      </c>
      <c r="B20" s="171" t="s">
        <v>53</v>
      </c>
      <c r="C20" s="172"/>
      <c r="D20" s="173"/>
      <c r="E20" s="174"/>
      <c r="F20" s="174"/>
      <c r="G20" s="174"/>
      <c r="H20" s="175"/>
      <c r="I20" s="166"/>
    </row>
    <row r="21" spans="1:9" x14ac:dyDescent="0.3">
      <c r="A21" s="108" t="s">
        <v>54</v>
      </c>
      <c r="B21" s="144"/>
      <c r="C21" s="148">
        <f>SUM(C22:C24)</f>
        <v>0</v>
      </c>
      <c r="D21" s="148">
        <f>SUM(D22:D24)</f>
        <v>0</v>
      </c>
      <c r="E21" s="146">
        <f t="shared" ref="E21:E38" si="4">IFERROR($C21/$C$4,)</f>
        <v>0</v>
      </c>
      <c r="F21" s="122">
        <f t="shared" ref="F21:F38" si="5">IFERROR($D21/$D$4,)</f>
        <v>0</v>
      </c>
      <c r="G21" s="122">
        <f t="shared" ref="G21:G38" si="6">IF(OR($C$4=0,$D$4=0),0,F21-E21)</f>
        <v>0</v>
      </c>
      <c r="H21" s="122">
        <f t="shared" ref="H21:H38" si="7">IFERROR(SUM($C21:$D21)/SUM($C$4:$D$4),)</f>
        <v>0</v>
      </c>
      <c r="I21" s="121"/>
    </row>
    <row r="22" spans="1:9" s="167" customFormat="1" x14ac:dyDescent="0.3">
      <c r="A22" s="160" t="s">
        <v>246</v>
      </c>
      <c r="B22" s="161"/>
      <c r="C22" s="162"/>
      <c r="D22" s="163"/>
      <c r="E22" s="164">
        <f t="shared" si="4"/>
        <v>0</v>
      </c>
      <c r="F22" s="165">
        <f t="shared" si="5"/>
        <v>0</v>
      </c>
      <c r="G22" s="165">
        <f t="shared" si="6"/>
        <v>0</v>
      </c>
      <c r="H22" s="165">
        <f t="shared" si="7"/>
        <v>0</v>
      </c>
      <c r="I22" s="166"/>
    </row>
    <row r="23" spans="1:9" s="167" customFormat="1" x14ac:dyDescent="0.3">
      <c r="A23" s="160" t="s">
        <v>247</v>
      </c>
      <c r="B23" s="161"/>
      <c r="C23" s="162"/>
      <c r="D23" s="163"/>
      <c r="E23" s="164">
        <f t="shared" si="4"/>
        <v>0</v>
      </c>
      <c r="F23" s="165">
        <f t="shared" si="5"/>
        <v>0</v>
      </c>
      <c r="G23" s="165">
        <f t="shared" si="6"/>
        <v>0</v>
      </c>
      <c r="H23" s="165">
        <f t="shared" si="7"/>
        <v>0</v>
      </c>
      <c r="I23" s="166"/>
    </row>
    <row r="24" spans="1:9" s="167" customFormat="1" x14ac:dyDescent="0.3">
      <c r="A24" s="160" t="s">
        <v>248</v>
      </c>
      <c r="B24" s="161"/>
      <c r="C24" s="162"/>
      <c r="D24" s="163"/>
      <c r="E24" s="164">
        <f t="shared" si="4"/>
        <v>0</v>
      </c>
      <c r="F24" s="165">
        <f t="shared" si="5"/>
        <v>0</v>
      </c>
      <c r="G24" s="165">
        <f t="shared" si="6"/>
        <v>0</v>
      </c>
      <c r="H24" s="165">
        <f t="shared" si="7"/>
        <v>0</v>
      </c>
      <c r="I24" s="166"/>
    </row>
    <row r="25" spans="1:9" x14ac:dyDescent="0.3">
      <c r="A25" s="108" t="s">
        <v>55</v>
      </c>
      <c r="B25" s="144"/>
      <c r="C25" s="148">
        <f>SUM(C26:C30)</f>
        <v>0</v>
      </c>
      <c r="D25" s="148">
        <f>SUM(D26:D30)</f>
        <v>0</v>
      </c>
      <c r="E25" s="146">
        <f t="shared" si="4"/>
        <v>0</v>
      </c>
      <c r="F25" s="122">
        <f t="shared" si="5"/>
        <v>0</v>
      </c>
      <c r="G25" s="122">
        <f t="shared" si="6"/>
        <v>0</v>
      </c>
      <c r="H25" s="122">
        <f t="shared" si="7"/>
        <v>0</v>
      </c>
      <c r="I25" s="121"/>
    </row>
    <row r="26" spans="1:9" s="167" customFormat="1" x14ac:dyDescent="0.3">
      <c r="A26" s="160" t="s">
        <v>249</v>
      </c>
      <c r="B26" s="161"/>
      <c r="C26" s="162"/>
      <c r="D26" s="163"/>
      <c r="E26" s="164">
        <f t="shared" si="4"/>
        <v>0</v>
      </c>
      <c r="F26" s="165">
        <f t="shared" si="5"/>
        <v>0</v>
      </c>
      <c r="G26" s="165">
        <f t="shared" si="6"/>
        <v>0</v>
      </c>
      <c r="H26" s="165">
        <f t="shared" si="7"/>
        <v>0</v>
      </c>
      <c r="I26" s="166"/>
    </row>
    <row r="27" spans="1:9" s="167" customFormat="1" x14ac:dyDescent="0.3">
      <c r="A27" s="160" t="s">
        <v>250</v>
      </c>
      <c r="B27" s="161"/>
      <c r="C27" s="162"/>
      <c r="D27" s="163"/>
      <c r="E27" s="164">
        <f t="shared" si="4"/>
        <v>0</v>
      </c>
      <c r="F27" s="165">
        <f t="shared" si="5"/>
        <v>0</v>
      </c>
      <c r="G27" s="165">
        <f t="shared" si="6"/>
        <v>0</v>
      </c>
      <c r="H27" s="165">
        <f t="shared" si="7"/>
        <v>0</v>
      </c>
      <c r="I27" s="166"/>
    </row>
    <row r="28" spans="1:9" s="167" customFormat="1" x14ac:dyDescent="0.3">
      <c r="A28" s="160" t="s">
        <v>251</v>
      </c>
      <c r="B28" s="161"/>
      <c r="C28" s="162"/>
      <c r="D28" s="163"/>
      <c r="E28" s="164">
        <f t="shared" si="4"/>
        <v>0</v>
      </c>
      <c r="F28" s="165">
        <f t="shared" si="5"/>
        <v>0</v>
      </c>
      <c r="G28" s="165">
        <f t="shared" si="6"/>
        <v>0</v>
      </c>
      <c r="H28" s="165">
        <f t="shared" si="7"/>
        <v>0</v>
      </c>
      <c r="I28" s="166"/>
    </row>
    <row r="29" spans="1:9" s="167" customFormat="1" x14ac:dyDescent="0.3">
      <c r="A29" s="160" t="s">
        <v>252</v>
      </c>
      <c r="B29" s="161"/>
      <c r="C29" s="162"/>
      <c r="D29" s="163"/>
      <c r="E29" s="164">
        <f t="shared" si="4"/>
        <v>0</v>
      </c>
      <c r="F29" s="165">
        <f t="shared" si="5"/>
        <v>0</v>
      </c>
      <c r="G29" s="165">
        <f t="shared" si="6"/>
        <v>0</v>
      </c>
      <c r="H29" s="165">
        <f t="shared" si="7"/>
        <v>0</v>
      </c>
      <c r="I29" s="166"/>
    </row>
    <row r="30" spans="1:9" s="167" customFormat="1" x14ac:dyDescent="0.3">
      <c r="A30" s="160" t="s">
        <v>253</v>
      </c>
      <c r="B30" s="161"/>
      <c r="C30" s="162"/>
      <c r="D30" s="163"/>
      <c r="E30" s="164">
        <f t="shared" si="4"/>
        <v>0</v>
      </c>
      <c r="F30" s="165">
        <f t="shared" si="5"/>
        <v>0</v>
      </c>
      <c r="G30" s="165">
        <f t="shared" si="6"/>
        <v>0</v>
      </c>
      <c r="H30" s="165">
        <f t="shared" si="7"/>
        <v>0</v>
      </c>
      <c r="I30" s="166"/>
    </row>
    <row r="31" spans="1:9" x14ac:dyDescent="0.3">
      <c r="A31" s="108" t="s">
        <v>56</v>
      </c>
      <c r="B31" s="144"/>
      <c r="C31" s="148">
        <f>SUM(C32:C35)</f>
        <v>0</v>
      </c>
      <c r="D31" s="148">
        <f>SUM(D32:D35)</f>
        <v>0</v>
      </c>
      <c r="E31" s="146">
        <f t="shared" si="4"/>
        <v>0</v>
      </c>
      <c r="F31" s="122">
        <f t="shared" si="5"/>
        <v>0</v>
      </c>
      <c r="G31" s="122">
        <f t="shared" si="6"/>
        <v>0</v>
      </c>
      <c r="H31" s="122">
        <f t="shared" si="7"/>
        <v>0</v>
      </c>
      <c r="I31" s="121"/>
    </row>
    <row r="32" spans="1:9" s="167" customFormat="1" x14ac:dyDescent="0.3">
      <c r="A32" s="160" t="s">
        <v>254</v>
      </c>
      <c r="B32" s="161"/>
      <c r="C32" s="162"/>
      <c r="D32" s="163"/>
      <c r="E32" s="164">
        <f t="shared" si="4"/>
        <v>0</v>
      </c>
      <c r="F32" s="165">
        <f t="shared" si="5"/>
        <v>0</v>
      </c>
      <c r="G32" s="165">
        <f t="shared" si="6"/>
        <v>0</v>
      </c>
      <c r="H32" s="165">
        <f t="shared" si="7"/>
        <v>0</v>
      </c>
      <c r="I32" s="166"/>
    </row>
    <row r="33" spans="1:9" s="167" customFormat="1" x14ac:dyDescent="0.3">
      <c r="A33" s="160" t="s">
        <v>255</v>
      </c>
      <c r="B33" s="161"/>
      <c r="C33" s="162"/>
      <c r="D33" s="163"/>
      <c r="E33" s="164">
        <f t="shared" si="4"/>
        <v>0</v>
      </c>
      <c r="F33" s="165">
        <f t="shared" si="5"/>
        <v>0</v>
      </c>
      <c r="G33" s="165">
        <f t="shared" si="6"/>
        <v>0</v>
      </c>
      <c r="H33" s="165">
        <f t="shared" si="7"/>
        <v>0</v>
      </c>
      <c r="I33" s="166"/>
    </row>
    <row r="34" spans="1:9" s="167" customFormat="1" x14ac:dyDescent="0.3">
      <c r="A34" s="160" t="s">
        <v>256</v>
      </c>
      <c r="B34" s="161"/>
      <c r="C34" s="162"/>
      <c r="D34" s="163"/>
      <c r="E34" s="164">
        <f t="shared" si="4"/>
        <v>0</v>
      </c>
      <c r="F34" s="165">
        <f t="shared" si="5"/>
        <v>0</v>
      </c>
      <c r="G34" s="165">
        <f t="shared" si="6"/>
        <v>0</v>
      </c>
      <c r="H34" s="165">
        <f t="shared" si="7"/>
        <v>0</v>
      </c>
      <c r="I34" s="166"/>
    </row>
    <row r="35" spans="1:9" s="167" customFormat="1" x14ac:dyDescent="0.3">
      <c r="A35" s="160" t="s">
        <v>257</v>
      </c>
      <c r="B35" s="161"/>
      <c r="C35" s="162"/>
      <c r="D35" s="163"/>
      <c r="E35" s="164">
        <f t="shared" si="4"/>
        <v>0</v>
      </c>
      <c r="F35" s="165">
        <f t="shared" si="5"/>
        <v>0</v>
      </c>
      <c r="G35" s="165">
        <f t="shared" si="6"/>
        <v>0</v>
      </c>
      <c r="H35" s="165">
        <f t="shared" si="7"/>
        <v>0</v>
      </c>
      <c r="I35" s="166"/>
    </row>
    <row r="36" spans="1:9" x14ac:dyDescent="0.3">
      <c r="A36" s="108" t="s">
        <v>57</v>
      </c>
      <c r="B36" s="144"/>
      <c r="C36" s="148">
        <f>SUM(C37:C38)</f>
        <v>0</v>
      </c>
      <c r="D36" s="148">
        <f>SUM(D37:D38)</f>
        <v>0</v>
      </c>
      <c r="E36" s="146">
        <f t="shared" si="4"/>
        <v>0</v>
      </c>
      <c r="F36" s="122">
        <f t="shared" si="5"/>
        <v>0</v>
      </c>
      <c r="G36" s="122">
        <f t="shared" si="6"/>
        <v>0</v>
      </c>
      <c r="H36" s="122">
        <f t="shared" si="7"/>
        <v>0</v>
      </c>
      <c r="I36" s="121"/>
    </row>
    <row r="37" spans="1:9" s="167" customFormat="1" x14ac:dyDescent="0.3">
      <c r="A37" s="160" t="s">
        <v>267</v>
      </c>
      <c r="B37" s="161"/>
      <c r="C37" s="162"/>
      <c r="D37" s="163"/>
      <c r="E37" s="164">
        <f t="shared" si="4"/>
        <v>0</v>
      </c>
      <c r="F37" s="165">
        <f t="shared" si="5"/>
        <v>0</v>
      </c>
      <c r="G37" s="165">
        <f t="shared" si="6"/>
        <v>0</v>
      </c>
      <c r="H37" s="165">
        <f t="shared" si="7"/>
        <v>0</v>
      </c>
      <c r="I37" s="166"/>
    </row>
    <row r="38" spans="1:9" s="167" customFormat="1" ht="16.2" thickBot="1" x14ac:dyDescent="0.35">
      <c r="A38" s="160" t="s">
        <v>268</v>
      </c>
      <c r="B38" s="161"/>
      <c r="C38" s="168"/>
      <c r="D38" s="169"/>
      <c r="E38" s="164">
        <f t="shared" si="4"/>
        <v>0</v>
      </c>
      <c r="F38" s="165">
        <f t="shared" si="5"/>
        <v>0</v>
      </c>
      <c r="G38" s="165">
        <f t="shared" si="6"/>
        <v>0</v>
      </c>
      <c r="H38" s="165">
        <f t="shared" si="7"/>
        <v>0</v>
      </c>
      <c r="I38" s="166"/>
    </row>
  </sheetData>
  <dataConsolidate/>
  <mergeCells count="24">
    <mergeCell ref="A28:B28"/>
    <mergeCell ref="A29:B29"/>
    <mergeCell ref="A26:B26"/>
    <mergeCell ref="A27:B27"/>
    <mergeCell ref="A4:B4"/>
    <mergeCell ref="A5:B5"/>
    <mergeCell ref="A6:B6"/>
    <mergeCell ref="A22:B22"/>
    <mergeCell ref="A23:B23"/>
    <mergeCell ref="A24:B24"/>
    <mergeCell ref="A30:B30"/>
    <mergeCell ref="A37:B37"/>
    <mergeCell ref="A38:B38"/>
    <mergeCell ref="A32:B32"/>
    <mergeCell ref="A33:B33"/>
    <mergeCell ref="A34:B34"/>
    <mergeCell ref="A35:B35"/>
    <mergeCell ref="C2:C3"/>
    <mergeCell ref="D2:D3"/>
    <mergeCell ref="I2:I4"/>
    <mergeCell ref="E2:E4"/>
    <mergeCell ref="F2:F4"/>
    <mergeCell ref="G2:G4"/>
    <mergeCell ref="H2:H4"/>
  </mergeCells>
  <phoneticPr fontId="14" type="noConversion"/>
  <pageMargins left="0.23622047244094491" right="0.23622047244094491" top="0.74803149606299213" bottom="0.74803149606299213" header="0.31496062992125984" footer="0.31496062992125984"/>
  <pageSetup paperSize="5" scale="78" fitToHeight="0" orientation="landscape" r:id="rId1"/>
  <headerFooter alignWithMargins="0">
    <oddHeader>&amp;L&amp;"-,Bold"Ministry of Forests, Timber Pricing Branch, Coast Log Cost Survey; Tab:&amp;A</oddHeader>
    <oddFooter>&amp;L&amp;F&amp;CConfidential&amp;R&amp;P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D1EEC8-39C5-4D18-AF3C-6E9B6E33C1E1}">
  <sheetPr>
    <tabColor theme="9" tint="0.59999389629810485"/>
    <pageSetUpPr autoPageBreaks="0" fitToPage="1"/>
  </sheetPr>
  <dimension ref="A1:H28"/>
  <sheetViews>
    <sheetView showGridLines="0" zoomScale="90" zoomScaleNormal="90" workbookViewId="0">
      <selection activeCell="B8" sqref="B8"/>
    </sheetView>
  </sheetViews>
  <sheetFormatPr defaultColWidth="15.77734375" defaultRowHeight="15.6" x14ac:dyDescent="0.3"/>
  <cols>
    <col min="1" max="1" width="38.109375" style="30" customWidth="1"/>
    <col min="2" max="2" width="37.6640625" style="30" customWidth="1"/>
    <col min="3" max="3" width="16.21875" style="30" customWidth="1"/>
    <col min="4" max="4" width="17.5546875" style="30" customWidth="1"/>
    <col min="5" max="5" width="49.44140625" style="30" customWidth="1"/>
    <col min="6" max="6" width="12.77734375" style="30" customWidth="1"/>
    <col min="7" max="7" width="15.77734375" style="30"/>
    <col min="8" max="8" width="34.88671875" style="30" customWidth="1"/>
    <col min="9" max="16384" width="15.77734375" style="30"/>
  </cols>
  <sheetData>
    <row r="1" spans="1:8" ht="15.75" customHeight="1" x14ac:dyDescent="0.3">
      <c r="A1" s="7" t="s">
        <v>30</v>
      </c>
      <c r="B1" s="7"/>
      <c r="C1" s="4"/>
      <c r="E1" s="4"/>
      <c r="F1" s="4"/>
      <c r="G1" s="6"/>
      <c r="H1" s="6"/>
    </row>
    <row r="2" spans="1:8" x14ac:dyDescent="0.3">
      <c r="A2" s="7"/>
      <c r="B2" s="7"/>
      <c r="C2" s="4"/>
      <c r="D2" s="4" t="s">
        <v>266</v>
      </c>
      <c r="E2" s="4"/>
      <c r="F2" s="4"/>
      <c r="G2" s="6"/>
      <c r="H2" s="6"/>
    </row>
    <row r="3" spans="1:8" x14ac:dyDescent="0.3">
      <c r="A3" s="23" t="s">
        <v>58</v>
      </c>
      <c r="B3" s="42" t="s">
        <v>230</v>
      </c>
      <c r="C3" s="23" t="s">
        <v>59</v>
      </c>
      <c r="D3" s="42" t="s">
        <v>61</v>
      </c>
      <c r="E3" s="23" t="s">
        <v>26</v>
      </c>
      <c r="F3" s="6"/>
      <c r="G3" s="6"/>
    </row>
    <row r="4" spans="1:8" x14ac:dyDescent="0.3">
      <c r="A4" s="136" t="s">
        <v>243</v>
      </c>
      <c r="B4" s="113"/>
      <c r="C4" s="44"/>
      <c r="D4" s="123">
        <f>IFERROR(FMA[[#This Row],[Total Cost ($)]]/TDLC!$C$4,)</f>
        <v>0</v>
      </c>
      <c r="E4" s="75"/>
    </row>
    <row r="5" spans="1:8" x14ac:dyDescent="0.3">
      <c r="A5" s="136" t="s">
        <v>243</v>
      </c>
      <c r="B5" s="113"/>
      <c r="C5" s="44"/>
      <c r="D5" s="123">
        <f>IFERROR(FMA[[#This Row],[Total Cost ($)]]/TDLC!$C$4,)</f>
        <v>0</v>
      </c>
      <c r="E5" s="75"/>
    </row>
    <row r="6" spans="1:8" x14ac:dyDescent="0.3">
      <c r="A6" s="136" t="s">
        <v>243</v>
      </c>
      <c r="B6" s="113"/>
      <c r="C6" s="44"/>
      <c r="D6" s="123">
        <f>IFERROR(FMA[[#This Row],[Total Cost ($)]]/TDLC!$C$4,)</f>
        <v>0</v>
      </c>
      <c r="E6" s="75"/>
    </row>
    <row r="7" spans="1:8" x14ac:dyDescent="0.3">
      <c r="A7" s="136" t="s">
        <v>243</v>
      </c>
      <c r="B7" s="113"/>
      <c r="C7" s="44"/>
      <c r="D7" s="123">
        <f>IFERROR(FMA[[#This Row],[Total Cost ($)]]/TDLC!$C$4,)</f>
        <v>0</v>
      </c>
      <c r="E7" s="75"/>
    </row>
    <row r="8" spans="1:8" x14ac:dyDescent="0.3">
      <c r="A8" s="136" t="s">
        <v>243</v>
      </c>
      <c r="B8" s="113"/>
      <c r="C8" s="44"/>
      <c r="D8" s="123">
        <f>IFERROR(FMA[[#This Row],[Total Cost ($)]]/TDLC!$C$4,)</f>
        <v>0</v>
      </c>
      <c r="E8" s="75"/>
    </row>
    <row r="9" spans="1:8" x14ac:dyDescent="0.3">
      <c r="A9" s="136" t="s">
        <v>243</v>
      </c>
      <c r="B9" s="113"/>
      <c r="C9" s="44"/>
      <c r="D9" s="123">
        <f>IFERROR(FMA[[#This Row],[Total Cost ($)]]/TDLC!$C$4,)</f>
        <v>0</v>
      </c>
      <c r="E9" s="75"/>
    </row>
    <row r="10" spans="1:8" x14ac:dyDescent="0.3">
      <c r="A10" s="136" t="s">
        <v>243</v>
      </c>
      <c r="B10" s="113"/>
      <c r="C10" s="114"/>
      <c r="D10" s="123">
        <f>IFERROR(FMA[[#This Row],[Total Cost ($)]]/TDLC!$C$4,)</f>
        <v>0</v>
      </c>
      <c r="E10" s="73"/>
    </row>
    <row r="11" spans="1:8" x14ac:dyDescent="0.3">
      <c r="A11" s="136" t="s">
        <v>243</v>
      </c>
      <c r="B11" s="113"/>
      <c r="C11" s="114"/>
      <c r="D11" s="123">
        <f>IFERROR(FMA[[#This Row],[Total Cost ($)]]/TDLC!$C$4,)</f>
        <v>0</v>
      </c>
      <c r="E11" s="73"/>
    </row>
    <row r="12" spans="1:8" x14ac:dyDescent="0.3">
      <c r="A12" s="136" t="s">
        <v>243</v>
      </c>
      <c r="B12" s="113"/>
      <c r="C12" s="114"/>
      <c r="D12" s="123">
        <f>IFERROR(FMA[[#This Row],[Total Cost ($)]]/TDLC!$C$4,)</f>
        <v>0</v>
      </c>
      <c r="E12" s="73"/>
    </row>
    <row r="13" spans="1:8" x14ac:dyDescent="0.3">
      <c r="B13" s="112"/>
      <c r="C13" s="31">
        <f>SUBTOTAL(109,FMA[Total Cost ($)])</f>
        <v>0</v>
      </c>
      <c r="D13" s="125">
        <f>SUBTOTAL(109,FMA[$/m3 ])</f>
        <v>0</v>
      </c>
    </row>
    <row r="14" spans="1:8" x14ac:dyDescent="0.3">
      <c r="B14" s="112"/>
      <c r="C14" s="31"/>
      <c r="D14" s="31"/>
      <c r="E14" s="31"/>
    </row>
    <row r="15" spans="1:8" x14ac:dyDescent="0.3">
      <c r="D15" s="4" t="s">
        <v>266</v>
      </c>
    </row>
    <row r="16" spans="1:8" ht="31.2" x14ac:dyDescent="0.3">
      <c r="A16" s="23" t="s">
        <v>58</v>
      </c>
      <c r="B16" s="42" t="s">
        <v>269</v>
      </c>
      <c r="C16" s="23" t="s">
        <v>59</v>
      </c>
      <c r="D16" s="42" t="s">
        <v>61</v>
      </c>
      <c r="E16" s="23" t="s">
        <v>26</v>
      </c>
    </row>
    <row r="17" spans="1:5" x14ac:dyDescent="0.3">
      <c r="A17" s="136" t="s">
        <v>243</v>
      </c>
      <c r="B17" s="111" t="s">
        <v>243</v>
      </c>
      <c r="C17" s="44"/>
      <c r="D17" s="123">
        <f>IFERROR(FMA_2[[#This Row],[Total Cost ($)]]/TDLC!$D$4,)</f>
        <v>0</v>
      </c>
      <c r="E17" s="75"/>
    </row>
    <row r="18" spans="1:5" x14ac:dyDescent="0.3">
      <c r="A18" s="136" t="s">
        <v>243</v>
      </c>
      <c r="B18" s="111" t="s">
        <v>243</v>
      </c>
      <c r="C18" s="44"/>
      <c r="D18" s="123">
        <f>IFERROR(FMA_2[[#This Row],[Total Cost ($)]]/TDLC!$D$4,)</f>
        <v>0</v>
      </c>
      <c r="E18" s="75"/>
    </row>
    <row r="19" spans="1:5" x14ac:dyDescent="0.3">
      <c r="A19" s="136" t="s">
        <v>243</v>
      </c>
      <c r="B19" s="111" t="s">
        <v>243</v>
      </c>
      <c r="C19" s="44"/>
      <c r="D19" s="123">
        <f>IFERROR(FMA_2[[#This Row],[Total Cost ($)]]/TDLC!$D$4,)</f>
        <v>0</v>
      </c>
      <c r="E19" s="75"/>
    </row>
    <row r="20" spans="1:5" x14ac:dyDescent="0.3">
      <c r="A20" s="136" t="s">
        <v>243</v>
      </c>
      <c r="B20" s="111" t="s">
        <v>243</v>
      </c>
      <c r="C20" s="44"/>
      <c r="D20" s="123">
        <f>IFERROR(FMA_2[[#This Row],[Total Cost ($)]]/TDLC!$D$4,)</f>
        <v>0</v>
      </c>
      <c r="E20" s="75"/>
    </row>
    <row r="21" spans="1:5" x14ac:dyDescent="0.3">
      <c r="A21" s="136" t="s">
        <v>243</v>
      </c>
      <c r="B21" s="111" t="s">
        <v>243</v>
      </c>
      <c r="C21" s="44"/>
      <c r="D21" s="123">
        <f>IFERROR(FMA_2[[#This Row],[Total Cost ($)]]/TDLC!$D$4,)</f>
        <v>0</v>
      </c>
      <c r="E21" s="75"/>
    </row>
    <row r="22" spans="1:5" x14ac:dyDescent="0.3">
      <c r="A22" s="136" t="s">
        <v>243</v>
      </c>
      <c r="B22" s="111" t="s">
        <v>243</v>
      </c>
      <c r="C22" s="44"/>
      <c r="D22" s="123">
        <f>IFERROR(FMA_2[[#This Row],[Total Cost ($)]]/TDLC!$D$4,)</f>
        <v>0</v>
      </c>
      <c r="E22" s="75"/>
    </row>
    <row r="23" spans="1:5" x14ac:dyDescent="0.3">
      <c r="A23" s="136" t="s">
        <v>243</v>
      </c>
      <c r="B23" s="111" t="s">
        <v>243</v>
      </c>
      <c r="C23" s="44"/>
      <c r="D23" s="123">
        <f>IFERROR(FMA_2[[#This Row],[Total Cost ($)]]/TDLC!$D$4,)</f>
        <v>0</v>
      </c>
      <c r="E23" s="75"/>
    </row>
    <row r="24" spans="1:5" x14ac:dyDescent="0.3">
      <c r="A24" s="136" t="s">
        <v>243</v>
      </c>
      <c r="B24" s="111" t="s">
        <v>243</v>
      </c>
      <c r="C24" s="44"/>
      <c r="D24" s="123">
        <f>IFERROR(FMA_2[[#This Row],[Total Cost ($)]]/TDLC!$D$4,)</f>
        <v>0</v>
      </c>
      <c r="E24" s="75"/>
    </row>
    <row r="25" spans="1:5" x14ac:dyDescent="0.3">
      <c r="A25" s="136" t="s">
        <v>243</v>
      </c>
      <c r="B25" s="111" t="s">
        <v>243</v>
      </c>
      <c r="C25" s="44"/>
      <c r="D25" s="123">
        <f>IFERROR(FMA_2[[#This Row],[Total Cost ($)]]/TDLC!$D$4,)</f>
        <v>0</v>
      </c>
      <c r="E25" s="75"/>
    </row>
    <row r="26" spans="1:5" x14ac:dyDescent="0.3">
      <c r="B26" s="112"/>
      <c r="C26" s="31">
        <f>SUBTOTAL(109,FMA_2[Total Cost ($)])</f>
        <v>0</v>
      </c>
      <c r="D26" s="125">
        <f>SUBTOTAL(109,FMA_2[$/m3 ])</f>
        <v>0</v>
      </c>
    </row>
    <row r="28" spans="1:5" x14ac:dyDescent="0.3">
      <c r="A28" s="66" t="s">
        <v>261</v>
      </c>
    </row>
  </sheetData>
  <sheetProtection insertRows="0"/>
  <phoneticPr fontId="14" type="noConversion"/>
  <pageMargins left="0.23622047244094491" right="0.23622047244094491" top="0.74803149606299213" bottom="0.74803149606299213" header="0.31496062992125984" footer="0.31496062992125984"/>
  <pageSetup paperSize="5" fitToHeight="0" orientation="landscape" r:id="rId1"/>
  <headerFooter alignWithMargins="0">
    <oddHeader>&amp;L&amp;"-,Bold"Ministry of Forests, Timber Pricing Branch, Coast Log Cost Survey; Tab:&amp;A</oddHeader>
    <oddFooter>&amp;L&amp;F&amp;CConfidential&amp;R&amp;P</oddFooter>
  </headerFooter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1529B21-691D-4FE4-84B6-A29034077CBE}">
          <x14:formula1>
            <xm:f>LKUP!$D$1:$D$10</xm:f>
          </x14:formula1>
          <xm:sqref>A4:A12 A17:A25</xm:sqref>
        </x14:dataValidation>
        <x14:dataValidation type="list" errorStyle="warning" allowBlank="1" showInputMessage="1" showErrorMessage="1" xr:uid="{4125DE64-E7C2-4434-80A9-C3B1542FE456}">
          <x14:formula1>
            <xm:f>LKUP!$C$5:$C$10</xm:f>
          </x14:formula1>
          <xm:sqref>B17:B25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72672-113C-4854-AB63-F186E912A601}">
  <sheetPr>
    <tabColor theme="9" tint="0.59999389629810485"/>
    <pageSetUpPr autoPageBreaks="0" fitToPage="1"/>
  </sheetPr>
  <dimension ref="A1:K12"/>
  <sheetViews>
    <sheetView showGridLines="0" zoomScale="90" zoomScaleNormal="90" workbookViewId="0">
      <selection activeCell="D15" sqref="D15"/>
    </sheetView>
  </sheetViews>
  <sheetFormatPr defaultColWidth="14.21875" defaultRowHeight="15.6" x14ac:dyDescent="0.3"/>
  <cols>
    <col min="1" max="1" width="13.21875" style="30" customWidth="1"/>
    <col min="2" max="2" width="31.88671875" style="30" customWidth="1"/>
    <col min="3" max="3" width="17.109375" style="30" customWidth="1"/>
    <col min="4" max="4" width="13.21875" style="30" customWidth="1"/>
    <col min="5" max="5" width="15.88671875" style="30" customWidth="1"/>
    <col min="6" max="7" width="13.21875" style="30" customWidth="1"/>
    <col min="8" max="9" width="12.109375" style="30" customWidth="1"/>
    <col min="10" max="10" width="16.88671875" style="30" customWidth="1"/>
    <col min="11" max="11" width="36.88671875" style="30" customWidth="1"/>
    <col min="12" max="16384" width="14.21875" style="30"/>
  </cols>
  <sheetData>
    <row r="1" spans="1:11" x14ac:dyDescent="0.3">
      <c r="A1" s="53" t="s">
        <v>62</v>
      </c>
    </row>
    <row r="3" spans="1:11" ht="60.75" customHeight="1" x14ac:dyDescent="0.3">
      <c r="A3" s="23" t="s">
        <v>63</v>
      </c>
      <c r="B3" s="23" t="s">
        <v>64</v>
      </c>
      <c r="C3" s="23" t="s">
        <v>65</v>
      </c>
      <c r="D3" s="41" t="s">
        <v>231</v>
      </c>
      <c r="E3" s="23" t="s">
        <v>67</v>
      </c>
      <c r="F3" s="23" t="s">
        <v>68</v>
      </c>
      <c r="G3" s="23" t="s">
        <v>69</v>
      </c>
      <c r="H3" s="23" t="s">
        <v>70</v>
      </c>
      <c r="I3" s="23" t="s">
        <v>71</v>
      </c>
      <c r="J3" s="23" t="s">
        <v>260</v>
      </c>
      <c r="K3" s="23" t="s">
        <v>26</v>
      </c>
    </row>
    <row r="4" spans="1:11" x14ac:dyDescent="0.3">
      <c r="B4" s="38" t="s">
        <v>243</v>
      </c>
      <c r="C4" s="38"/>
      <c r="D4" s="43" t="s">
        <v>243</v>
      </c>
      <c r="E4" s="38" t="s">
        <v>243</v>
      </c>
      <c r="F4" s="38" t="s">
        <v>243</v>
      </c>
      <c r="G4" s="62"/>
      <c r="H4" s="26"/>
      <c r="I4" s="106"/>
      <c r="J4" s="124">
        <f>IFERROR(ROAD[[#This Row],[Cost ($)]]/ROAD[[#This Row],[Length (m)]],)</f>
        <v>0</v>
      </c>
      <c r="K4" s="27"/>
    </row>
    <row r="5" spans="1:11" x14ac:dyDescent="0.3">
      <c r="B5" s="38" t="s">
        <v>243</v>
      </c>
      <c r="C5" s="38"/>
      <c r="D5" s="43" t="s">
        <v>243</v>
      </c>
      <c r="E5" s="38" t="s">
        <v>243</v>
      </c>
      <c r="F5" s="38" t="s">
        <v>243</v>
      </c>
      <c r="G5" s="62"/>
      <c r="H5" s="26"/>
      <c r="I5" s="106"/>
      <c r="J5" s="124">
        <f>IFERROR(ROAD[[#This Row],[Cost ($)]]/ROAD[[#This Row],[Length (m)]],)</f>
        <v>0</v>
      </c>
      <c r="K5" s="27"/>
    </row>
    <row r="6" spans="1:11" x14ac:dyDescent="0.3">
      <c r="B6" s="38" t="s">
        <v>243</v>
      </c>
      <c r="C6" s="38"/>
      <c r="D6" s="43" t="s">
        <v>243</v>
      </c>
      <c r="E6" s="38" t="s">
        <v>243</v>
      </c>
      <c r="F6" s="38" t="s">
        <v>243</v>
      </c>
      <c r="G6" s="62"/>
      <c r="H6" s="26"/>
      <c r="I6" s="106"/>
      <c r="J6" s="124">
        <f>IFERROR(ROAD[[#This Row],[Cost ($)]]/ROAD[[#This Row],[Length (m)]],)</f>
        <v>0</v>
      </c>
      <c r="K6" s="27"/>
    </row>
    <row r="7" spans="1:11" x14ac:dyDescent="0.3">
      <c r="B7" s="38" t="s">
        <v>243</v>
      </c>
      <c r="C7" s="38"/>
      <c r="D7" s="43" t="s">
        <v>243</v>
      </c>
      <c r="E7" s="38" t="s">
        <v>243</v>
      </c>
      <c r="F7" s="38" t="s">
        <v>243</v>
      </c>
      <c r="G7" s="62"/>
      <c r="H7" s="26"/>
      <c r="I7" s="106"/>
      <c r="J7" s="124">
        <f>IFERROR(ROAD[[#This Row],[Cost ($)]]/ROAD[[#This Row],[Length (m)]],)</f>
        <v>0</v>
      </c>
      <c r="K7" s="27"/>
    </row>
    <row r="8" spans="1:11" x14ac:dyDescent="0.3">
      <c r="B8" s="38" t="s">
        <v>243</v>
      </c>
      <c r="C8" s="38"/>
      <c r="D8" s="43" t="s">
        <v>243</v>
      </c>
      <c r="E8" s="38" t="s">
        <v>243</v>
      </c>
      <c r="F8" s="38" t="s">
        <v>243</v>
      </c>
      <c r="G8" s="62"/>
      <c r="H8" s="26"/>
      <c r="I8" s="106"/>
      <c r="J8" s="124">
        <f>IFERROR(ROAD[[#This Row],[Cost ($)]]/ROAD[[#This Row],[Length (m)]],)</f>
        <v>0</v>
      </c>
      <c r="K8" s="27"/>
    </row>
    <row r="9" spans="1:11" x14ac:dyDescent="0.3">
      <c r="B9" s="38" t="s">
        <v>243</v>
      </c>
      <c r="C9" s="38"/>
      <c r="D9" s="43" t="s">
        <v>243</v>
      </c>
      <c r="E9" s="38" t="s">
        <v>243</v>
      </c>
      <c r="F9" s="38" t="s">
        <v>243</v>
      </c>
      <c r="G9" s="62"/>
      <c r="H9" s="26"/>
      <c r="I9" s="106"/>
      <c r="J9" s="124">
        <f>IFERROR(ROAD[[#This Row],[Cost ($)]]/ROAD[[#This Row],[Length (m)]],)</f>
        <v>0</v>
      </c>
      <c r="K9" s="27"/>
    </row>
    <row r="10" spans="1:11" x14ac:dyDescent="0.3">
      <c r="B10" s="38" t="s">
        <v>243</v>
      </c>
      <c r="C10" s="38"/>
      <c r="D10" s="43" t="s">
        <v>243</v>
      </c>
      <c r="E10" s="38" t="s">
        <v>243</v>
      </c>
      <c r="F10" s="38" t="s">
        <v>243</v>
      </c>
      <c r="G10" s="62"/>
      <c r="H10" s="26"/>
      <c r="I10" s="106"/>
      <c r="J10" s="124">
        <f>IFERROR(ROAD[[#This Row],[Cost ($)]]/ROAD[[#This Row],[Length (m)]],)</f>
        <v>0</v>
      </c>
      <c r="K10" s="27"/>
    </row>
    <row r="11" spans="1:11" x14ac:dyDescent="0.3">
      <c r="B11" s="38" t="s">
        <v>243</v>
      </c>
      <c r="C11" s="38"/>
      <c r="D11" s="43" t="s">
        <v>243</v>
      </c>
      <c r="E11" s="38" t="s">
        <v>243</v>
      </c>
      <c r="F11" s="38" t="s">
        <v>243</v>
      </c>
      <c r="G11" s="62"/>
      <c r="H11" s="26"/>
      <c r="I11" s="106"/>
      <c r="J11" s="124">
        <f>IFERROR(ROAD[[#This Row],[Cost ($)]]/ROAD[[#This Row],[Length (m)]],)</f>
        <v>0</v>
      </c>
      <c r="K11" s="27"/>
    </row>
    <row r="12" spans="1:11" x14ac:dyDescent="0.3">
      <c r="G12" s="112"/>
      <c r="H12" s="31">
        <f>SUBTOTAL(109,ROAD[Cost ($)])</f>
        <v>0</v>
      </c>
      <c r="I12" s="107">
        <f>SUBTOTAL(109,ROAD[Length (m)])</f>
        <v>0</v>
      </c>
      <c r="J12" s="137">
        <f>IFERROR(ROAD[[#Totals],[Cost ($)]]/ROAD[[#Totals],[Length (m)]],)</f>
        <v>0</v>
      </c>
    </row>
  </sheetData>
  <pageMargins left="0.23622047244094491" right="0.23622047244094491" top="0.74803149606299213" bottom="0.74803149606299213" header="0.31496062992125984" footer="0.31496062992125984"/>
  <pageSetup paperSize="5" scale="85" fitToHeight="0" orientation="landscape" r:id="rId1"/>
  <headerFooter alignWithMargins="0">
    <oddHeader>&amp;L&amp;"-,Bold"Ministry of Forests, Timber Pricing Branch, Coast Log Cost Survey; Tab:&amp;A</oddHeader>
    <oddFooter>&amp;L&amp;F&amp;CConfidential&amp;R&amp;P</oddFooter>
  </headerFooter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709884DF-C130-47D9-BB59-3C6555AC9A02}">
          <x14:formula1>
            <xm:f>LKUP!$C$1:$C$3</xm:f>
          </x14:formula1>
          <xm:sqref>D4:D11</xm:sqref>
        </x14:dataValidation>
        <x14:dataValidation type="list" allowBlank="1" showInputMessage="1" showErrorMessage="1" xr:uid="{E9EEE289-0E67-4AD3-84D1-4C96E42CAA2D}">
          <x14:formula1>
            <xm:f>LKUP!$B$26:$B$28</xm:f>
          </x14:formula1>
          <xm:sqref>F4:F11</xm:sqref>
        </x14:dataValidation>
        <x14:dataValidation type="list" allowBlank="1" showInputMessage="1" showErrorMessage="1" xr:uid="{0296BFFA-CC5E-4C36-85EF-51DBEEC8028F}">
          <x14:formula1>
            <xm:f>LKUP!$D$12:$D$20</xm:f>
          </x14:formula1>
          <xm:sqref>E4:E11</xm:sqref>
        </x14:dataValidation>
        <x14:dataValidation type="list" allowBlank="1" showInputMessage="1" showErrorMessage="1" xr:uid="{776B26B4-C047-4EDE-9DBE-9028E8B75557}">
          <x14:formula1>
            <xm:f>LKUP!$C$31:$C$55</xm:f>
          </x14:formula1>
          <xm:sqref>B4:B11</xm:sqref>
        </x14:dataValidation>
        <x14:dataValidation type="list" allowBlank="1" showInputMessage="1" showErrorMessage="1" xr:uid="{EF4A558C-063F-450E-801E-A43A01E2901D}">
          <x14:formula1>
            <xm:f>LKUP!E31:E37</xm:f>
          </x14:formula1>
          <xm:sqref>D15:D24</xm:sqref>
        </x14:dataValidation>
        <x14:dataValidation type="list" allowBlank="1" showInputMessage="1" showErrorMessage="1" xr:uid="{DB6726CC-C7A3-433D-8883-59E24FA040C0}">
          <x14:formula1>
            <xm:f>LKUP!E28:E35</xm:f>
          </x14:formula1>
          <xm:sqref>D13:D14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9F88A-A39E-473A-8918-7305FB55525B}">
  <sheetPr>
    <tabColor theme="9" tint="0.59999389629810485"/>
    <pageSetUpPr autoPageBreaks="0" fitToPage="1"/>
  </sheetPr>
  <dimension ref="A1:M14"/>
  <sheetViews>
    <sheetView showGridLines="0" zoomScale="90" zoomScaleNormal="90" workbookViewId="0">
      <selection activeCell="D16" sqref="D16"/>
    </sheetView>
  </sheetViews>
  <sheetFormatPr defaultColWidth="11.21875" defaultRowHeight="15.6" x14ac:dyDescent="0.3"/>
  <cols>
    <col min="1" max="11" width="15.88671875" style="30" customWidth="1"/>
    <col min="12" max="12" width="11.88671875" style="30" customWidth="1"/>
    <col min="13" max="13" width="28.77734375" style="30" customWidth="1"/>
    <col min="14" max="16384" width="11.21875" style="30"/>
  </cols>
  <sheetData>
    <row r="1" spans="1:13" x14ac:dyDescent="0.3">
      <c r="A1" s="53" t="s">
        <v>72</v>
      </c>
    </row>
    <row r="3" spans="1:13" ht="31.2" x14ac:dyDescent="0.3">
      <c r="A3" s="54" t="s">
        <v>63</v>
      </c>
      <c r="B3" s="54" t="s">
        <v>73</v>
      </c>
      <c r="C3" s="54" t="s">
        <v>74</v>
      </c>
      <c r="D3" s="54" t="s">
        <v>75</v>
      </c>
      <c r="E3" s="54" t="s">
        <v>76</v>
      </c>
      <c r="F3" s="54" t="s">
        <v>77</v>
      </c>
      <c r="G3" s="54" t="s">
        <v>78</v>
      </c>
      <c r="H3" s="54" t="s">
        <v>79</v>
      </c>
      <c r="I3" s="54" t="s">
        <v>80</v>
      </c>
      <c r="J3" s="55" t="s">
        <v>81</v>
      </c>
      <c r="K3" s="55" t="s">
        <v>82</v>
      </c>
      <c r="L3" s="63" t="s">
        <v>83</v>
      </c>
      <c r="M3" s="54" t="s">
        <v>26</v>
      </c>
    </row>
    <row r="4" spans="1:13" x14ac:dyDescent="0.3">
      <c r="A4" s="38"/>
      <c r="B4" s="38" t="s">
        <v>243</v>
      </c>
      <c r="C4" s="38"/>
      <c r="D4" s="38"/>
      <c r="E4" s="99"/>
      <c r="F4" s="38" t="s">
        <v>243</v>
      </c>
      <c r="G4" s="99"/>
      <c r="H4" s="38"/>
      <c r="I4" s="99"/>
      <c r="J4" s="129"/>
      <c r="K4" s="129"/>
      <c r="L4" s="98">
        <f>SUM(BRDG[[#This Row],[Material Cost ($)]:[Installation Cost ($)]])</f>
        <v>0</v>
      </c>
      <c r="M4" s="64"/>
    </row>
    <row r="5" spans="1:13" x14ac:dyDescent="0.3">
      <c r="A5" s="38"/>
      <c r="B5" s="38" t="s">
        <v>243</v>
      </c>
      <c r="C5" s="38"/>
      <c r="D5" s="38"/>
      <c r="E5" s="99"/>
      <c r="F5" s="38" t="s">
        <v>243</v>
      </c>
      <c r="G5" s="99"/>
      <c r="H5" s="38"/>
      <c r="I5" s="99"/>
      <c r="J5" s="129"/>
      <c r="K5" s="129"/>
      <c r="L5" s="98">
        <f>SUM(BRDG[[#This Row],[Material Cost ($)]:[Installation Cost ($)]])</f>
        <v>0</v>
      </c>
      <c r="M5" s="64"/>
    </row>
    <row r="6" spans="1:13" x14ac:dyDescent="0.3">
      <c r="A6" s="38"/>
      <c r="B6" s="38" t="s">
        <v>243</v>
      </c>
      <c r="C6" s="38"/>
      <c r="D6" s="38"/>
      <c r="E6" s="99"/>
      <c r="F6" s="38" t="s">
        <v>243</v>
      </c>
      <c r="G6" s="99"/>
      <c r="H6" s="38"/>
      <c r="I6" s="99"/>
      <c r="J6" s="129"/>
      <c r="K6" s="129"/>
      <c r="L6" s="98">
        <f>SUM(BRDG[[#This Row],[Material Cost ($)]:[Installation Cost ($)]])</f>
        <v>0</v>
      </c>
      <c r="M6" s="64"/>
    </row>
    <row r="7" spans="1:13" x14ac:dyDescent="0.3">
      <c r="A7" s="38"/>
      <c r="B7" s="38" t="s">
        <v>243</v>
      </c>
      <c r="C7" s="38"/>
      <c r="D7" s="38"/>
      <c r="E7" s="99"/>
      <c r="F7" s="38" t="s">
        <v>243</v>
      </c>
      <c r="G7" s="99"/>
      <c r="H7" s="38"/>
      <c r="I7" s="99"/>
      <c r="J7" s="129"/>
      <c r="K7" s="129"/>
      <c r="L7" s="98">
        <f>SUM(BRDG[[#This Row],[Material Cost ($)]:[Installation Cost ($)]])</f>
        <v>0</v>
      </c>
      <c r="M7" s="64"/>
    </row>
    <row r="8" spans="1:13" x14ac:dyDescent="0.3">
      <c r="A8" s="38"/>
      <c r="B8" s="38" t="s">
        <v>243</v>
      </c>
      <c r="C8" s="38"/>
      <c r="D8" s="38"/>
      <c r="E8" s="99"/>
      <c r="F8" s="38" t="s">
        <v>243</v>
      </c>
      <c r="G8" s="99"/>
      <c r="H8" s="38"/>
      <c r="I8" s="99"/>
      <c r="J8" s="129"/>
      <c r="K8" s="129"/>
      <c r="L8" s="98">
        <f>SUM(BRDG[[#This Row],[Material Cost ($)]:[Installation Cost ($)]])</f>
        <v>0</v>
      </c>
      <c r="M8" s="64"/>
    </row>
    <row r="9" spans="1:13" x14ac:dyDescent="0.3">
      <c r="A9" s="38"/>
      <c r="B9" s="38" t="s">
        <v>243</v>
      </c>
      <c r="C9" s="38"/>
      <c r="D9" s="38"/>
      <c r="E9" s="99"/>
      <c r="F9" s="38" t="s">
        <v>243</v>
      </c>
      <c r="G9" s="99"/>
      <c r="H9" s="38"/>
      <c r="I9" s="99"/>
      <c r="J9" s="129"/>
      <c r="K9" s="129"/>
      <c r="L9" s="98">
        <f>SUM(BRDG[[#This Row],[Material Cost ($)]:[Installation Cost ($)]])</f>
        <v>0</v>
      </c>
      <c r="M9" s="64"/>
    </row>
    <row r="10" spans="1:13" x14ac:dyDescent="0.3">
      <c r="A10" s="38"/>
      <c r="B10" s="38" t="s">
        <v>243</v>
      </c>
      <c r="C10" s="38"/>
      <c r="D10" s="38"/>
      <c r="E10" s="99"/>
      <c r="F10" s="38" t="s">
        <v>243</v>
      </c>
      <c r="G10" s="99"/>
      <c r="H10" s="38"/>
      <c r="I10" s="99"/>
      <c r="J10" s="129"/>
      <c r="K10" s="129"/>
      <c r="L10" s="98">
        <f>SUM(BRDG[[#This Row],[Material Cost ($)]:[Installation Cost ($)]])</f>
        <v>0</v>
      </c>
      <c r="M10" s="64"/>
    </row>
    <row r="11" spans="1:13" x14ac:dyDescent="0.3">
      <c r="A11" s="38"/>
      <c r="B11" s="38" t="s">
        <v>243</v>
      </c>
      <c r="C11" s="38"/>
      <c r="D11" s="38"/>
      <c r="E11" s="99"/>
      <c r="F11" s="38" t="s">
        <v>243</v>
      </c>
      <c r="G11" s="99"/>
      <c r="H11" s="38"/>
      <c r="I11" s="99"/>
      <c r="J11" s="129"/>
      <c r="K11" s="129"/>
      <c r="L11" s="98">
        <f>SUM(BRDG[[#This Row],[Material Cost ($)]:[Installation Cost ($)]])</f>
        <v>0</v>
      </c>
      <c r="M11" s="64"/>
    </row>
    <row r="12" spans="1:13" x14ac:dyDescent="0.3">
      <c r="A12" s="38"/>
      <c r="B12" s="38" t="s">
        <v>243</v>
      </c>
      <c r="C12" s="38"/>
      <c r="D12" s="38"/>
      <c r="E12" s="99"/>
      <c r="F12" s="38" t="s">
        <v>243</v>
      </c>
      <c r="G12" s="99"/>
      <c r="H12" s="38"/>
      <c r="I12" s="99"/>
      <c r="J12" s="129"/>
      <c r="K12" s="129"/>
      <c r="L12" s="98">
        <f>SUM(BRDG[[#This Row],[Material Cost ($)]:[Installation Cost ($)]])</f>
        <v>0</v>
      </c>
      <c r="M12" s="64"/>
    </row>
    <row r="13" spans="1:13" x14ac:dyDescent="0.3">
      <c r="A13" s="38"/>
      <c r="B13" s="38" t="s">
        <v>243</v>
      </c>
      <c r="C13" s="38"/>
      <c r="D13" s="38"/>
      <c r="E13" s="99"/>
      <c r="F13" s="38" t="s">
        <v>243</v>
      </c>
      <c r="G13" s="99"/>
      <c r="H13" s="38"/>
      <c r="I13" s="99"/>
      <c r="J13" s="129"/>
      <c r="K13" s="129"/>
      <c r="L13" s="98">
        <f>SUM(BRDG[[#This Row],[Material Cost ($)]:[Installation Cost ($)]])</f>
        <v>0</v>
      </c>
      <c r="M13" s="64"/>
    </row>
    <row r="14" spans="1:13" x14ac:dyDescent="0.3">
      <c r="I14" s="130">
        <f>SUBTOTAL(109,BRDG[Abutment Height (m) ])</f>
        <v>0</v>
      </c>
      <c r="J14" s="40">
        <f>SUBTOTAL(109,BRDG[Material Cost ($)])</f>
        <v>0</v>
      </c>
      <c r="K14" s="40">
        <f>SUBTOTAL(109,BRDG[Installation Cost ($)])</f>
        <v>0</v>
      </c>
      <c r="L14" s="40">
        <f>SUBTOTAL(109,BRDG[Total Bridge Cost ($)])</f>
        <v>0</v>
      </c>
      <c r="M14" s="64"/>
    </row>
  </sheetData>
  <phoneticPr fontId="14" type="noConversion"/>
  <pageMargins left="0.23622047244094491" right="0.23622047244094491" top="0.74803149606299213" bottom="0.74803149606299213" header="0.31496062992125984" footer="0.31496062992125984"/>
  <pageSetup paperSize="5" scale="92" fitToHeight="0" orientation="landscape" r:id="rId1"/>
  <headerFooter alignWithMargins="0">
    <oddHeader>&amp;L&amp;"-,Bold"Ministry of Forests, Timber Pricing Branch, Coast Log Cost Survey; Tab:&amp;A</oddHeader>
    <oddFooter>&amp;L&amp;F&amp;CConfidential&amp;R&amp;P</oddFooter>
  </headerFooter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3604281E-475D-4604-BAA1-18A78DFF2962}">
          <x14:formula1>
            <xm:f>LKUP!$A$16:$A$19</xm:f>
          </x14:formula1>
          <xm:sqref>D4:D13</xm:sqref>
        </x14:dataValidation>
        <x14:dataValidation type="list" allowBlank="1" showInputMessage="1" showErrorMessage="1" xr:uid="{C34D9949-1C2D-4BA7-AB94-4326E3F9BF7E}">
          <x14:formula1>
            <xm:f>LKUP!$B$5:$B$8</xm:f>
          </x14:formula1>
          <xm:sqref>B4:B13</xm:sqref>
        </x14:dataValidation>
        <x14:dataValidation type="list" allowBlank="1" showInputMessage="1" showErrorMessage="1" xr:uid="{435C841B-95C6-4D95-A664-2E0969BB53E8}">
          <x14:formula1>
            <xm:f>LKUP!$B$10:$B$14</xm:f>
          </x14:formula1>
          <xm:sqref>F4:F13</xm:sqref>
        </x14:dataValidation>
        <x14:dataValidation type="list" allowBlank="1" showInputMessage="1" showErrorMessage="1" xr:uid="{CC54825D-551C-4F86-AFC3-63712D54D174}">
          <x14:formula1>
            <xm:f>LKUP!$C$13:$C$16</xm:f>
          </x14:formula1>
          <xm:sqref>H4:H13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771478-9FD2-403A-9F10-D327A9B76684}">
  <sheetPr>
    <tabColor theme="9" tint="0.59999389629810485"/>
    <pageSetUpPr fitToPage="1"/>
  </sheetPr>
  <dimension ref="A1:J14"/>
  <sheetViews>
    <sheetView showGridLines="0" zoomScale="90" zoomScaleNormal="90" workbookViewId="0">
      <selection activeCell="D17" sqref="D17"/>
    </sheetView>
  </sheetViews>
  <sheetFormatPr defaultColWidth="16.5546875" defaultRowHeight="15.6" x14ac:dyDescent="0.3"/>
  <cols>
    <col min="1" max="8" width="15.77734375" style="17" customWidth="1"/>
    <col min="9" max="9" width="15.109375" style="17" customWidth="1"/>
    <col min="10" max="10" width="33.5546875" style="17" customWidth="1"/>
    <col min="11" max="16384" width="16.5546875" style="17"/>
  </cols>
  <sheetData>
    <row r="1" spans="1:10" x14ac:dyDescent="0.3">
      <c r="A1" s="19" t="s">
        <v>84</v>
      </c>
    </row>
    <row r="3" spans="1:10" s="18" customFormat="1" ht="31.2" x14ac:dyDescent="0.3">
      <c r="A3" s="32" t="s">
        <v>63</v>
      </c>
      <c r="B3" s="23" t="s">
        <v>85</v>
      </c>
      <c r="C3" s="32" t="s">
        <v>86</v>
      </c>
      <c r="D3" s="32" t="s">
        <v>87</v>
      </c>
      <c r="E3" s="32" t="s">
        <v>88</v>
      </c>
      <c r="F3" s="32" t="s">
        <v>89</v>
      </c>
      <c r="G3" s="32" t="s">
        <v>59</v>
      </c>
      <c r="H3" s="32" t="s">
        <v>90</v>
      </c>
      <c r="I3" s="33" t="s">
        <v>91</v>
      </c>
      <c r="J3" s="32" t="s">
        <v>26</v>
      </c>
    </row>
    <row r="4" spans="1:10" x14ac:dyDescent="0.3">
      <c r="A4" s="35"/>
      <c r="B4" s="36" t="s">
        <v>243</v>
      </c>
      <c r="C4" s="97"/>
      <c r="D4" s="97"/>
      <c r="E4" s="37"/>
      <c r="F4" s="37"/>
      <c r="G4" s="29"/>
      <c r="H4" s="34"/>
      <c r="I4" s="96">
        <f>IFERROR(CLVRT[[#This Row],[Total Cost ($)]]/CLVRT[[#This Row],[Number of Culverts]],)</f>
        <v>0</v>
      </c>
      <c r="J4" s="8"/>
    </row>
    <row r="5" spans="1:10" x14ac:dyDescent="0.3">
      <c r="A5" s="35"/>
      <c r="B5" s="36" t="s">
        <v>243</v>
      </c>
      <c r="C5" s="97"/>
      <c r="D5" s="97"/>
      <c r="E5" s="37"/>
      <c r="F5" s="37"/>
      <c r="G5" s="29"/>
      <c r="H5" s="34"/>
      <c r="I5" s="96">
        <f>IFERROR(CLVRT[[#This Row],[Total Cost ($)]]/CLVRT[[#This Row],[Number of Culverts]],)</f>
        <v>0</v>
      </c>
      <c r="J5" s="8"/>
    </row>
    <row r="6" spans="1:10" x14ac:dyDescent="0.3">
      <c r="A6" s="35"/>
      <c r="B6" s="36" t="s">
        <v>243</v>
      </c>
      <c r="C6" s="97"/>
      <c r="D6" s="97"/>
      <c r="E6" s="37"/>
      <c r="F6" s="37"/>
      <c r="G6" s="29"/>
      <c r="H6" s="34"/>
      <c r="I6" s="96">
        <f>IFERROR(CLVRT[[#This Row],[Total Cost ($)]]/CLVRT[[#This Row],[Number of Culverts]],)</f>
        <v>0</v>
      </c>
      <c r="J6" s="8"/>
    </row>
    <row r="7" spans="1:10" x14ac:dyDescent="0.3">
      <c r="A7" s="35"/>
      <c r="B7" s="36" t="s">
        <v>243</v>
      </c>
      <c r="C7" s="97"/>
      <c r="D7" s="97"/>
      <c r="E7" s="37"/>
      <c r="F7" s="37"/>
      <c r="G7" s="29"/>
      <c r="H7" s="34"/>
      <c r="I7" s="96">
        <f>IFERROR(CLVRT[[#This Row],[Total Cost ($)]]/CLVRT[[#This Row],[Number of Culverts]],)</f>
        <v>0</v>
      </c>
      <c r="J7" s="8"/>
    </row>
    <row r="8" spans="1:10" x14ac:dyDescent="0.3">
      <c r="A8" s="35"/>
      <c r="B8" s="36" t="s">
        <v>243</v>
      </c>
      <c r="C8" s="97"/>
      <c r="D8" s="97"/>
      <c r="E8" s="37"/>
      <c r="F8" s="37"/>
      <c r="G8" s="29"/>
      <c r="H8" s="34"/>
      <c r="I8" s="96">
        <f>IFERROR(CLVRT[[#This Row],[Total Cost ($)]]/CLVRT[[#This Row],[Number of Culverts]],)</f>
        <v>0</v>
      </c>
      <c r="J8" s="8"/>
    </row>
    <row r="9" spans="1:10" x14ac:dyDescent="0.3">
      <c r="A9" s="35"/>
      <c r="B9" s="36" t="s">
        <v>243</v>
      </c>
      <c r="C9" s="97"/>
      <c r="D9" s="97"/>
      <c r="E9" s="37"/>
      <c r="F9" s="37"/>
      <c r="G9" s="29"/>
      <c r="H9" s="34"/>
      <c r="I9" s="96">
        <f>IFERROR(CLVRT[[#This Row],[Total Cost ($)]]/CLVRT[[#This Row],[Number of Culverts]],)</f>
        <v>0</v>
      </c>
      <c r="J9" s="8"/>
    </row>
    <row r="10" spans="1:10" x14ac:dyDescent="0.3">
      <c r="A10" s="35"/>
      <c r="B10" s="36" t="s">
        <v>243</v>
      </c>
      <c r="C10" s="97"/>
      <c r="D10" s="97"/>
      <c r="E10" s="37"/>
      <c r="F10" s="37"/>
      <c r="G10" s="29"/>
      <c r="H10" s="34"/>
      <c r="I10" s="96">
        <f>IFERROR(CLVRT[[#This Row],[Total Cost ($)]]/CLVRT[[#This Row],[Number of Culverts]],)</f>
        <v>0</v>
      </c>
      <c r="J10" s="8"/>
    </row>
    <row r="11" spans="1:10" x14ac:dyDescent="0.3">
      <c r="A11" s="35"/>
      <c r="B11" s="36" t="s">
        <v>243</v>
      </c>
      <c r="C11" s="97"/>
      <c r="D11" s="97"/>
      <c r="E11" s="37"/>
      <c r="F11" s="37"/>
      <c r="G11" s="29"/>
      <c r="H11" s="34"/>
      <c r="I11" s="96">
        <f>IFERROR(CLVRT[[#This Row],[Total Cost ($)]]/CLVRT[[#This Row],[Number of Culverts]],)</f>
        <v>0</v>
      </c>
      <c r="J11" s="8"/>
    </row>
    <row r="12" spans="1:10" x14ac:dyDescent="0.3">
      <c r="A12" s="35"/>
      <c r="B12" s="36" t="s">
        <v>243</v>
      </c>
      <c r="C12" s="97"/>
      <c r="D12" s="97"/>
      <c r="E12" s="37"/>
      <c r="F12" s="37"/>
      <c r="G12" s="29"/>
      <c r="H12" s="34"/>
      <c r="I12" s="96">
        <f>IFERROR(CLVRT[[#This Row],[Total Cost ($)]]/CLVRT[[#This Row],[Number of Culverts]],)</f>
        <v>0</v>
      </c>
      <c r="J12" s="8"/>
    </row>
    <row r="13" spans="1:10" x14ac:dyDescent="0.3">
      <c r="A13" s="35"/>
      <c r="B13" s="36" t="s">
        <v>243</v>
      </c>
      <c r="C13" s="97"/>
      <c r="D13" s="97"/>
      <c r="E13" s="37"/>
      <c r="F13" s="37"/>
      <c r="G13" s="29"/>
      <c r="H13" s="34"/>
      <c r="I13" s="96">
        <f>IFERROR(CLVRT[[#This Row],[Total Cost ($)]]/CLVRT[[#This Row],[Number of Culverts]],)</f>
        <v>0</v>
      </c>
      <c r="J13" s="8"/>
    </row>
    <row r="14" spans="1:10" x14ac:dyDescent="0.3">
      <c r="A14" s="39"/>
      <c r="B14" s="38"/>
      <c r="C14" s="38"/>
      <c r="D14" s="38"/>
      <c r="E14" s="40">
        <f>SUBTOTAL(109,CLVRT[Total Material Cost ($)])</f>
        <v>0</v>
      </c>
      <c r="F14" s="40">
        <f>SUBTOTAL(109,CLVRT[Total Install Cost ($)])</f>
        <v>0</v>
      </c>
      <c r="G14" s="40">
        <f>SUBTOTAL(109,CLVRT[Total Cost ($)])</f>
        <v>0</v>
      </c>
      <c r="H14" s="38">
        <f>SUBTOTAL(109,CLVRT[Number of Culverts])</f>
        <v>0</v>
      </c>
      <c r="I14" s="96">
        <f>IFERROR(CLVRT[[#Totals],[Total Cost ($)]]/CLVRT[[#Totals],[Number of Culverts]],)</f>
        <v>0</v>
      </c>
      <c r="J14" s="30"/>
    </row>
  </sheetData>
  <pageMargins left="0.23622047244094491" right="0.23622047244094491" top="0.74803149606299213" bottom="0.74803149606299213" header="0.31496062992125984" footer="0.31496062992125984"/>
  <pageSetup paperSize="5" scale="98" fitToHeight="0" orientation="landscape" r:id="rId1"/>
  <headerFooter alignWithMargins="0">
    <oddHeader>&amp;L&amp;"-,Bold"Ministry of Forests, Timber Pricing Branch, Coast Log Cost Survey; Tab:&amp;A</oddHeader>
    <oddFooter>&amp;L&amp;F&amp;CConfidential&amp;R&amp;P</oddFooter>
  </headerFooter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81AE4A6-7EFE-4A4A-9C2F-911193D9D4C6}">
          <x14:formula1>
            <xm:f>LKUP!$A$11:$A$13</xm:f>
          </x14:formula1>
          <xm:sqref>B4:B13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80279-29AF-440B-A9C9-2A8FDC11698F}">
  <sheetPr>
    <tabColor theme="9" tint="0.59999389629810485"/>
    <pageSetUpPr autoPageBreaks="0" fitToPage="1"/>
  </sheetPr>
  <dimension ref="A1:I17"/>
  <sheetViews>
    <sheetView showGridLines="0" zoomScale="90" zoomScaleNormal="90" workbookViewId="0">
      <selection activeCell="C22" sqref="C22"/>
    </sheetView>
  </sheetViews>
  <sheetFormatPr defaultColWidth="9" defaultRowHeight="15.6" x14ac:dyDescent="0.3"/>
  <cols>
    <col min="1" max="1" width="19.44140625" style="4" customWidth="1"/>
    <col min="2" max="2" width="41.88671875" style="4" customWidth="1"/>
    <col min="3" max="3" width="29.33203125" style="4" customWidth="1"/>
    <col min="4" max="4" width="21.88671875" style="4" customWidth="1"/>
    <col min="5" max="5" width="18.44140625" style="4" customWidth="1"/>
    <col min="6" max="6" width="35.77734375" style="4" customWidth="1"/>
    <col min="7" max="7" width="50.44140625" style="4" customWidth="1"/>
    <col min="8" max="8" width="11.44140625" style="4" customWidth="1"/>
    <col min="9" max="16384" width="9" style="4"/>
  </cols>
  <sheetData>
    <row r="1" spans="1:9" x14ac:dyDescent="0.3">
      <c r="A1" s="7" t="s">
        <v>38</v>
      </c>
      <c r="B1" s="7"/>
    </row>
    <row r="2" spans="1:9" x14ac:dyDescent="0.3">
      <c r="E2" s="4" t="s">
        <v>266</v>
      </c>
    </row>
    <row r="3" spans="1:9" ht="46.2" customHeight="1" x14ac:dyDescent="0.3">
      <c r="A3" s="23" t="s">
        <v>92</v>
      </c>
      <c r="B3" s="42" t="s">
        <v>230</v>
      </c>
      <c r="C3" s="23" t="s">
        <v>58</v>
      </c>
      <c r="D3" s="23" t="s">
        <v>70</v>
      </c>
      <c r="E3" s="42" t="s">
        <v>61</v>
      </c>
      <c r="F3" s="23" t="s">
        <v>26</v>
      </c>
    </row>
    <row r="4" spans="1:9" x14ac:dyDescent="0.3">
      <c r="A4" s="24"/>
      <c r="B4" s="115" t="s">
        <v>230</v>
      </c>
      <c r="C4" s="25" t="s">
        <v>243</v>
      </c>
      <c r="D4" s="26"/>
      <c r="E4" s="89">
        <f>IFERROR(RDMGT[[#This Row],[Cost ($)]]/TDLC!$C$4,)</f>
        <v>0</v>
      </c>
      <c r="F4" s="27"/>
    </row>
    <row r="5" spans="1:9" x14ac:dyDescent="0.3">
      <c r="A5" s="24"/>
      <c r="B5" s="115" t="s">
        <v>230</v>
      </c>
      <c r="C5" s="25" t="s">
        <v>243</v>
      </c>
      <c r="D5" s="26"/>
      <c r="E5" s="89">
        <f>IFERROR(RDMGT[[#This Row],[Cost ($)]]/TDLC!$C$4,)</f>
        <v>0</v>
      </c>
      <c r="F5" s="27"/>
    </row>
    <row r="6" spans="1:9" x14ac:dyDescent="0.3">
      <c r="A6" s="24"/>
      <c r="B6" s="115" t="s">
        <v>230</v>
      </c>
      <c r="C6" s="25" t="s">
        <v>243</v>
      </c>
      <c r="D6" s="26"/>
      <c r="E6" s="89">
        <f>IFERROR(RDMGT[[#This Row],[Cost ($)]]/TDLC!$C$4,)</f>
        <v>0</v>
      </c>
      <c r="F6" s="27"/>
    </row>
    <row r="7" spans="1:9" x14ac:dyDescent="0.3">
      <c r="A7" s="24"/>
      <c r="B7" s="115" t="s">
        <v>230</v>
      </c>
      <c r="C7" s="25" t="s">
        <v>243</v>
      </c>
      <c r="D7" s="26"/>
      <c r="E7" s="89">
        <f>IFERROR(RDMGT[[#This Row],[Cost ($)]]/TDLC!$C$4,)</f>
        <v>0</v>
      </c>
      <c r="F7" s="27"/>
    </row>
    <row r="8" spans="1:9" x14ac:dyDescent="0.3">
      <c r="A8" s="39"/>
      <c r="B8" s="39"/>
      <c r="C8" s="38"/>
      <c r="D8" s="31">
        <f>SUBTOTAL(109,RDMGT[Cost ($)])</f>
        <v>0</v>
      </c>
      <c r="E8" s="116">
        <f>IFERROR(RDMGT[[#Totals],[Cost ($)]]/TDLC!$C$4,)</f>
        <v>0</v>
      </c>
      <c r="F8" s="46"/>
    </row>
    <row r="9" spans="1:9" x14ac:dyDescent="0.3">
      <c r="A9" s="39"/>
      <c r="B9" s="39"/>
      <c r="C9" s="38"/>
      <c r="D9" s="31"/>
      <c r="E9" s="31"/>
      <c r="F9" s="46"/>
    </row>
    <row r="10" spans="1:9" x14ac:dyDescent="0.3">
      <c r="C10" s="103"/>
      <c r="E10" s="4" t="s">
        <v>266</v>
      </c>
    </row>
    <row r="11" spans="1:9" ht="40.950000000000003" customHeight="1" x14ac:dyDescent="0.3">
      <c r="A11" s="23" t="s">
        <v>92</v>
      </c>
      <c r="B11" s="42" t="s">
        <v>269</v>
      </c>
      <c r="C11" s="23" t="s">
        <v>58</v>
      </c>
      <c r="D11" s="23" t="s">
        <v>70</v>
      </c>
      <c r="E11" s="42" t="s">
        <v>61</v>
      </c>
      <c r="F11" s="23" t="s">
        <v>26</v>
      </c>
    </row>
    <row r="12" spans="1:9" x14ac:dyDescent="0.3">
      <c r="A12" s="24"/>
      <c r="B12" s="74" t="s">
        <v>243</v>
      </c>
      <c r="C12" s="25" t="s">
        <v>243</v>
      </c>
      <c r="D12" s="26"/>
      <c r="E12" s="89">
        <f>IFERROR(RDMGT2[[#This Row],[Cost ($)]]/TDLC!$D$4,)</f>
        <v>0</v>
      </c>
      <c r="F12" s="27"/>
    </row>
    <row r="13" spans="1:9" x14ac:dyDescent="0.3">
      <c r="A13" s="24"/>
      <c r="B13" s="74" t="s">
        <v>243</v>
      </c>
      <c r="C13" s="25" t="s">
        <v>243</v>
      </c>
      <c r="D13" s="26"/>
      <c r="E13" s="89">
        <f>IFERROR(RDMGT2[[#This Row],[Cost ($)]]/TDLC!$D$4,)</f>
        <v>0</v>
      </c>
      <c r="F13" s="27"/>
      <c r="I13" s="78"/>
    </row>
    <row r="14" spans="1:9" x14ac:dyDescent="0.3">
      <c r="A14" s="24"/>
      <c r="B14" s="74" t="s">
        <v>243</v>
      </c>
      <c r="C14" s="25" t="s">
        <v>243</v>
      </c>
      <c r="D14" s="26"/>
      <c r="E14" s="89">
        <f>IFERROR(RDMGT2[[#This Row],[Cost ($)]]/TDLC!$D$4,)</f>
        <v>0</v>
      </c>
      <c r="F14" s="27"/>
    </row>
    <row r="15" spans="1:9" x14ac:dyDescent="0.3">
      <c r="A15" s="24"/>
      <c r="B15" s="74" t="s">
        <v>243</v>
      </c>
      <c r="C15" s="25" t="s">
        <v>243</v>
      </c>
      <c r="D15" s="26"/>
      <c r="E15" s="89">
        <f>IFERROR(RDMGT2[[#This Row],[Cost ($)]]/TDLC!$D$4,)</f>
        <v>0</v>
      </c>
      <c r="F15" s="27"/>
    </row>
    <row r="16" spans="1:9" x14ac:dyDescent="0.3">
      <c r="B16" s="74" t="s">
        <v>243</v>
      </c>
      <c r="C16" s="25" t="s">
        <v>243</v>
      </c>
      <c r="D16" s="131"/>
      <c r="E16" s="89">
        <f>IFERROR(RDMGT2[[#This Row],[Cost ($)]]/TDLC!$D$4,)</f>
        <v>0</v>
      </c>
    </row>
    <row r="17" spans="1:6" x14ac:dyDescent="0.3">
      <c r="A17" s="39"/>
      <c r="B17" s="39"/>
      <c r="C17" s="38"/>
      <c r="D17" s="31">
        <f>SUBTOTAL(109,RDMGT2[Cost ($)])</f>
        <v>0</v>
      </c>
      <c r="E17" s="116">
        <f>IFERROR(RDMGT2[[#Totals],[Cost ($)]]/TDLC!$D$4,)</f>
        <v>0</v>
      </c>
      <c r="F17" s="46"/>
    </row>
  </sheetData>
  <pageMargins left="0.23622047244094491" right="0.23622047244094491" top="0.74803149606299213" bottom="0.74803149606299213" header="0.31496062992125984" footer="0.31496062992125984"/>
  <pageSetup paperSize="5" fitToHeight="0" orientation="landscape" r:id="rId1"/>
  <headerFooter alignWithMargins="0">
    <oddHeader>&amp;L&amp;"-,Bold"Ministry of Forests, Timber Pricing Branch, Coast Log Cost Survey; Tab:&amp;A</oddHeader>
    <oddFooter>&amp;L&amp;F&amp;CConfidential&amp;R&amp;P</oddFooter>
  </headerFooter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errorStyle="warning" allowBlank="1" showInputMessage="1" showErrorMessage="1" xr:uid="{E990233C-0411-4447-AEF6-F3B825618A37}">
          <x14:formula1>
            <xm:f>LKUP!$C$5:$C$10</xm:f>
          </x14:formula1>
          <xm:sqref>B12:B16</xm:sqref>
        </x14:dataValidation>
        <x14:dataValidation type="list" allowBlank="1" showInputMessage="1" showErrorMessage="1" xr:uid="{5F10986F-E19B-4630-BA89-8C20DEED7E6E}">
          <x14:formula1>
            <xm:f>LKUP!$D$22:$D$26</xm:f>
          </x14:formula1>
          <xm:sqref>C4:C7 C12:C16</xm:sqref>
        </x14:dataValidation>
        <x14:dataValidation type="list" allowBlank="1" showInputMessage="1" showErrorMessage="1" xr:uid="{5A682BF3-2992-4F52-8BEE-757C617637F6}">
          <x14:formula1>
            <xm:f>LKUP!$E$7:$E$13</xm:f>
          </x14:formula1>
          <xm:sqref>A4:A7 A12:A16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BE1D8-354B-49CE-90E0-97568B8E0BD7}">
  <sheetPr>
    <tabColor theme="9" tint="0.59999389629810485"/>
    <pageSetUpPr autoPageBreaks="0" fitToPage="1"/>
  </sheetPr>
  <dimension ref="A1:I17"/>
  <sheetViews>
    <sheetView showGridLines="0" zoomScale="90" zoomScaleNormal="90" workbookViewId="0">
      <selection activeCell="D22" sqref="D22"/>
    </sheetView>
  </sheetViews>
  <sheetFormatPr defaultColWidth="8.88671875" defaultRowHeight="15.6" x14ac:dyDescent="0.3"/>
  <cols>
    <col min="1" max="1" width="19.77734375" style="8" customWidth="1"/>
    <col min="2" max="2" width="40.6640625" style="8" customWidth="1"/>
    <col min="3" max="3" width="18.88671875" style="8" customWidth="1"/>
    <col min="4" max="5" width="14.21875" style="8" customWidth="1"/>
    <col min="6" max="6" width="16.77734375" style="8" customWidth="1"/>
    <col min="7" max="7" width="16" style="8" customWidth="1"/>
    <col min="8" max="8" width="14.21875" style="8" customWidth="1"/>
    <col min="9" max="9" width="34.77734375" style="8" customWidth="1"/>
    <col min="10" max="10" width="40.5546875" style="8" customWidth="1"/>
    <col min="11" max="14" width="15.77734375" style="8" customWidth="1"/>
    <col min="15" max="16384" width="8.88671875" style="8"/>
  </cols>
  <sheetData>
    <row r="1" spans="1:9" x14ac:dyDescent="0.3">
      <c r="A1" s="9" t="s">
        <v>40</v>
      </c>
    </row>
    <row r="3" spans="1:9" s="110" customFormat="1" ht="31.2" x14ac:dyDescent="0.3">
      <c r="A3" s="41" t="s">
        <v>93</v>
      </c>
      <c r="B3" s="118" t="s">
        <v>230</v>
      </c>
      <c r="C3" s="41" t="s">
        <v>242</v>
      </c>
      <c r="D3" s="41" t="s">
        <v>94</v>
      </c>
      <c r="E3" s="41" t="s">
        <v>66</v>
      </c>
      <c r="F3" s="23" t="s">
        <v>70</v>
      </c>
      <c r="G3" s="23" t="s">
        <v>95</v>
      </c>
      <c r="H3" s="42" t="s">
        <v>96</v>
      </c>
      <c r="I3" s="41" t="s">
        <v>26</v>
      </c>
    </row>
    <row r="4" spans="1:9" x14ac:dyDescent="0.3">
      <c r="A4" s="43" t="s">
        <v>243</v>
      </c>
      <c r="B4" s="113" t="s">
        <v>230</v>
      </c>
      <c r="C4" s="43"/>
      <c r="D4" s="43" t="s">
        <v>243</v>
      </c>
      <c r="E4" s="43" t="s">
        <v>243</v>
      </c>
      <c r="F4" s="44"/>
      <c r="G4" s="132"/>
      <c r="H4" s="94">
        <f>IFERROR(SILV[[#This Row],[Cost ($)]]/SILV[[#This Row],[Area (ha)]],)</f>
        <v>0</v>
      </c>
      <c r="I4" s="45"/>
    </row>
    <row r="5" spans="1:9" x14ac:dyDescent="0.3">
      <c r="A5" s="43" t="s">
        <v>243</v>
      </c>
      <c r="B5" s="113" t="s">
        <v>230</v>
      </c>
      <c r="C5" s="43"/>
      <c r="D5" s="43" t="s">
        <v>243</v>
      </c>
      <c r="E5" s="43" t="s">
        <v>243</v>
      </c>
      <c r="F5" s="44"/>
      <c r="G5" s="132"/>
      <c r="H5" s="94">
        <f>IFERROR(SILV[[#This Row],[Cost ($)]]/SILV[[#This Row],[Area (ha)]],)</f>
        <v>0</v>
      </c>
      <c r="I5" s="45"/>
    </row>
    <row r="6" spans="1:9" x14ac:dyDescent="0.3">
      <c r="A6" s="43" t="s">
        <v>243</v>
      </c>
      <c r="B6" s="113" t="s">
        <v>230</v>
      </c>
      <c r="C6" s="43"/>
      <c r="D6" s="43" t="s">
        <v>243</v>
      </c>
      <c r="E6" s="43" t="s">
        <v>243</v>
      </c>
      <c r="F6" s="44"/>
      <c r="G6" s="132"/>
      <c r="H6" s="94">
        <f>IFERROR(SILV[[#This Row],[Cost ($)]]/SILV[[#This Row],[Area (ha)]],)</f>
        <v>0</v>
      </c>
      <c r="I6" s="45"/>
    </row>
    <row r="7" spans="1:9" x14ac:dyDescent="0.3">
      <c r="A7" s="43" t="s">
        <v>243</v>
      </c>
      <c r="B7" s="113" t="s">
        <v>230</v>
      </c>
      <c r="C7" s="43"/>
      <c r="D7" s="43" t="s">
        <v>243</v>
      </c>
      <c r="E7" s="43" t="s">
        <v>243</v>
      </c>
      <c r="F7" s="44"/>
      <c r="G7" s="132"/>
      <c r="H7" s="94">
        <f>IFERROR(SILV[[#This Row],[Cost ($)]]/SILV[[#This Row],[Area (ha)]],)</f>
        <v>0</v>
      </c>
      <c r="I7" s="45"/>
    </row>
    <row r="8" spans="1:9" x14ac:dyDescent="0.3">
      <c r="A8" s="43" t="s">
        <v>243</v>
      </c>
      <c r="B8" s="113" t="s">
        <v>230</v>
      </c>
      <c r="C8" s="43"/>
      <c r="D8" s="43" t="s">
        <v>243</v>
      </c>
      <c r="E8" s="43" t="s">
        <v>243</v>
      </c>
      <c r="F8" s="44"/>
      <c r="G8" s="132"/>
      <c r="H8" s="94">
        <f>IFERROR(SILV[[#This Row],[Cost ($)]]/SILV[[#This Row],[Area (ha)]],)</f>
        <v>0</v>
      </c>
      <c r="I8" s="45"/>
    </row>
    <row r="9" spans="1:9" x14ac:dyDescent="0.3">
      <c r="A9" s="38"/>
      <c r="B9" s="38"/>
      <c r="C9" s="38"/>
      <c r="D9" s="38"/>
      <c r="E9" s="38"/>
      <c r="F9" s="31">
        <f>SUBTOTAL(109,SILV[Cost ($)])</f>
        <v>0</v>
      </c>
      <c r="G9" s="133">
        <f>SUBTOTAL(109,SILV[Area (ha)])</f>
        <v>0</v>
      </c>
      <c r="H9" s="95">
        <f>IFERROR(SILV[[#Totals],[Cost ($)]]/SILV[[#Totals],[Area (ha)]],)</f>
        <v>0</v>
      </c>
      <c r="I9" s="30"/>
    </row>
    <row r="11" spans="1:9" s="110" customFormat="1" ht="31.2" x14ac:dyDescent="0.3">
      <c r="A11" s="41" t="s">
        <v>93</v>
      </c>
      <c r="B11" s="118" t="s">
        <v>269</v>
      </c>
      <c r="C11" s="41" t="s">
        <v>242</v>
      </c>
      <c r="D11" s="41" t="s">
        <v>94</v>
      </c>
      <c r="E11" s="41" t="s">
        <v>66</v>
      </c>
      <c r="F11" s="23" t="s">
        <v>70</v>
      </c>
      <c r="G11" s="23" t="s">
        <v>95</v>
      </c>
      <c r="H11" s="42" t="s">
        <v>96</v>
      </c>
      <c r="I11" s="41" t="s">
        <v>26</v>
      </c>
    </row>
    <row r="12" spans="1:9" x14ac:dyDescent="0.3">
      <c r="A12" s="43" t="s">
        <v>243</v>
      </c>
      <c r="B12" s="111" t="s">
        <v>243</v>
      </c>
      <c r="C12" s="43"/>
      <c r="D12" s="43" t="s">
        <v>243</v>
      </c>
      <c r="E12" s="43" t="s">
        <v>243</v>
      </c>
      <c r="F12" s="44"/>
      <c r="G12" s="132"/>
      <c r="H12" s="94">
        <f>IFERROR(SILV9[[#This Row],[Cost ($)]]/SILV9[[#This Row],[Area (ha)]],)</f>
        <v>0</v>
      </c>
      <c r="I12" s="45"/>
    </row>
    <row r="13" spans="1:9" x14ac:dyDescent="0.3">
      <c r="A13" s="43" t="s">
        <v>243</v>
      </c>
      <c r="B13" s="111" t="s">
        <v>243</v>
      </c>
      <c r="C13" s="43"/>
      <c r="D13" s="43" t="s">
        <v>243</v>
      </c>
      <c r="E13" s="43" t="s">
        <v>243</v>
      </c>
      <c r="F13" s="44"/>
      <c r="G13" s="132"/>
      <c r="H13" s="94">
        <f>IFERROR(SILV9[[#This Row],[Cost ($)]]/SILV9[[#This Row],[Area (ha)]],)</f>
        <v>0</v>
      </c>
      <c r="I13" s="45"/>
    </row>
    <row r="14" spans="1:9" x14ac:dyDescent="0.3">
      <c r="A14" s="43" t="s">
        <v>243</v>
      </c>
      <c r="B14" s="111" t="s">
        <v>243</v>
      </c>
      <c r="C14" s="43"/>
      <c r="D14" s="43" t="s">
        <v>243</v>
      </c>
      <c r="E14" s="43" t="s">
        <v>243</v>
      </c>
      <c r="F14" s="44"/>
      <c r="G14" s="132"/>
      <c r="H14" s="94">
        <f>IFERROR(SILV9[[#This Row],[Cost ($)]]/SILV9[[#This Row],[Area (ha)]],)</f>
        <v>0</v>
      </c>
      <c r="I14" s="45"/>
    </row>
    <row r="15" spans="1:9" x14ac:dyDescent="0.3">
      <c r="A15" s="43" t="s">
        <v>243</v>
      </c>
      <c r="B15" s="111" t="s">
        <v>243</v>
      </c>
      <c r="C15" s="43"/>
      <c r="D15" s="43" t="s">
        <v>243</v>
      </c>
      <c r="E15" s="43" t="s">
        <v>243</v>
      </c>
      <c r="F15" s="44"/>
      <c r="G15" s="132"/>
      <c r="H15" s="94">
        <f>IFERROR(SILV9[[#This Row],[Cost ($)]]/SILV9[[#This Row],[Area (ha)]],)</f>
        <v>0</v>
      </c>
      <c r="I15" s="45"/>
    </row>
    <row r="16" spans="1:9" x14ac:dyDescent="0.3">
      <c r="A16" s="43" t="s">
        <v>243</v>
      </c>
      <c r="B16" s="111" t="s">
        <v>243</v>
      </c>
      <c r="C16" s="43"/>
      <c r="D16" s="43" t="s">
        <v>243</v>
      </c>
      <c r="E16" s="43" t="s">
        <v>243</v>
      </c>
      <c r="F16" s="44"/>
      <c r="G16" s="132"/>
      <c r="H16" s="94">
        <f>IFERROR(SILV9[[#This Row],[Cost ($)]]/SILV9[[#This Row],[Area (ha)]],)</f>
        <v>0</v>
      </c>
      <c r="I16" s="45"/>
    </row>
    <row r="17" spans="1:9" x14ac:dyDescent="0.3">
      <c r="A17" s="38"/>
      <c r="B17" s="38"/>
      <c r="C17" s="38"/>
      <c r="D17" s="38"/>
      <c r="E17" s="38"/>
      <c r="F17" s="31">
        <f>SUBTOTAL(109,SILV9[Cost ($)])</f>
        <v>0</v>
      </c>
      <c r="G17" s="138">
        <f>SUBTOTAL(109,SILV9[Area (ha)])</f>
        <v>0</v>
      </c>
      <c r="H17" s="95">
        <f>IFERROR(SILV9[[#Totals],[Cost ($)]]/SILV9[[#Totals],[Area (ha)]],)</f>
        <v>0</v>
      </c>
      <c r="I17" s="30"/>
    </row>
  </sheetData>
  <pageMargins left="0.23622047244094491" right="0.23622047244094491" top="0.74803149606299213" bottom="0.74803149606299213" header="0.31496062992125984" footer="0.31496062992125984"/>
  <pageSetup paperSize="5" scale="98" fitToHeight="0" orientation="landscape" r:id="rId1"/>
  <headerFooter alignWithMargins="0">
    <oddHeader>&amp;L&amp;"-,Bold"Ministry of Forests, Timber Pricing Branch, Coast Log Cost Survey; Tab:&amp;A</oddHeader>
    <oddFooter>&amp;L&amp;F&amp;CConfidential&amp;R&amp;P</oddFooter>
  </headerFooter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errorStyle="warning" allowBlank="1" showInputMessage="1" showErrorMessage="1" xr:uid="{0C4A4188-543C-477F-8739-BB71B52FF2AE}">
          <x14:formula1>
            <xm:f>LKUP!$C$5:$C$10</xm:f>
          </x14:formula1>
          <xm:sqref>B12:B16</xm:sqref>
        </x14:dataValidation>
        <x14:dataValidation type="list" allowBlank="1" showInputMessage="1" showErrorMessage="1" xr:uid="{3C04E86E-2791-4B92-A08F-15507D8BD664}">
          <x14:formula1>
            <xm:f>LKUP!$C$1:$C$3</xm:f>
          </x14:formula1>
          <xm:sqref>E4:E8 E12:E16</xm:sqref>
        </x14:dataValidation>
        <x14:dataValidation type="list" allowBlank="1" showInputMessage="1" showErrorMessage="1" xr:uid="{30E4FD37-D318-4C4B-B5AB-3BD0923A1AA8}">
          <x14:formula1>
            <xm:f>LKUP!$C$18:$C$28</xm:f>
          </x14:formula1>
          <xm:sqref>A4:A8 A12:A16</xm:sqref>
        </x14:dataValidation>
        <x14:dataValidation type="list" allowBlank="1" showInputMessage="1" showErrorMessage="1" xr:uid="{9E392BE2-2A40-4659-A261-36D684135904}">
          <x14:formula1>
            <xm:f>LKUP!$E$15:$E$18</xm:f>
          </x14:formula1>
          <xm:sqref>D4:D8 D12:D16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BE9B8-D672-414B-85BC-5044CFF07703}">
  <sheetPr>
    <tabColor theme="9" tint="0.59999389629810485"/>
    <pageSetUpPr autoPageBreaks="0" fitToPage="1"/>
  </sheetPr>
  <dimension ref="A1:K14"/>
  <sheetViews>
    <sheetView showGridLines="0" zoomScale="90" zoomScaleNormal="90" workbookViewId="0">
      <selection activeCell="G9" sqref="G9"/>
    </sheetView>
  </sheetViews>
  <sheetFormatPr defaultColWidth="6.88671875" defaultRowHeight="15.6" x14ac:dyDescent="0.3"/>
  <cols>
    <col min="1" max="1" width="14.109375" style="30" customWidth="1"/>
    <col min="2" max="6" width="15.44140625" style="30" customWidth="1"/>
    <col min="7" max="7" width="12.21875" style="30" customWidth="1"/>
    <col min="8" max="8" width="12.44140625" style="30" customWidth="1"/>
    <col min="9" max="9" width="14.109375" style="30" customWidth="1"/>
    <col min="10" max="10" width="12.77734375" style="30" customWidth="1"/>
    <col min="11" max="11" width="39.21875" style="30" customWidth="1"/>
    <col min="12" max="16384" width="6.88671875" style="30"/>
  </cols>
  <sheetData>
    <row r="1" spans="1:11" x14ac:dyDescent="0.3">
      <c r="A1" s="53" t="s">
        <v>42</v>
      </c>
    </row>
    <row r="3" spans="1:11" ht="78" x14ac:dyDescent="0.3">
      <c r="A3" s="54" t="s">
        <v>63</v>
      </c>
      <c r="B3" s="54" t="s">
        <v>97</v>
      </c>
      <c r="C3" s="54" t="s">
        <v>98</v>
      </c>
      <c r="D3" s="54" t="s">
        <v>99</v>
      </c>
      <c r="E3" s="54" t="s">
        <v>100</v>
      </c>
      <c r="F3" s="54" t="s">
        <v>101</v>
      </c>
      <c r="G3" s="54" t="s">
        <v>102</v>
      </c>
      <c r="H3" s="54" t="s">
        <v>70</v>
      </c>
      <c r="I3" s="54" t="s">
        <v>95</v>
      </c>
      <c r="J3" s="54" t="s">
        <v>103</v>
      </c>
      <c r="K3" s="54" t="s">
        <v>26</v>
      </c>
    </row>
    <row r="4" spans="1:11" x14ac:dyDescent="0.3">
      <c r="A4" s="54"/>
      <c r="B4" s="54"/>
      <c r="C4" s="54"/>
      <c r="D4" s="54"/>
      <c r="E4" s="54"/>
      <c r="F4" s="54"/>
      <c r="G4" s="54"/>
      <c r="H4" s="55"/>
      <c r="I4" s="134"/>
      <c r="J4" s="89">
        <f>IFERROR(RDC[[#This Row],[Cost ($)]]/RDC[[#This Row],[Area (ha)]],)</f>
        <v>0</v>
      </c>
      <c r="K4" s="61"/>
    </row>
    <row r="5" spans="1:11" x14ac:dyDescent="0.3">
      <c r="A5" s="54"/>
      <c r="B5" s="54"/>
      <c r="C5" s="54"/>
      <c r="D5" s="54"/>
      <c r="E5" s="54"/>
      <c r="F5" s="54"/>
      <c r="G5" s="54"/>
      <c r="H5" s="55"/>
      <c r="I5" s="134"/>
      <c r="J5" s="89">
        <f>IFERROR(RDC[[#This Row],[Cost ($)]]/RDC[[#This Row],[Area (ha)]],)</f>
        <v>0</v>
      </c>
      <c r="K5" s="61"/>
    </row>
    <row r="6" spans="1:11" x14ac:dyDescent="0.3">
      <c r="A6" s="54"/>
      <c r="B6" s="54"/>
      <c r="C6" s="54"/>
      <c r="D6" s="54"/>
      <c r="E6" s="54"/>
      <c r="F6" s="54"/>
      <c r="G6" s="54"/>
      <c r="H6" s="55"/>
      <c r="I6" s="134"/>
      <c r="J6" s="89">
        <f>IFERROR(RDC[[#This Row],[Cost ($)]]/RDC[[#This Row],[Area (ha)]],)</f>
        <v>0</v>
      </c>
      <c r="K6" s="61"/>
    </row>
    <row r="7" spans="1:11" x14ac:dyDescent="0.3">
      <c r="A7" s="54"/>
      <c r="B7" s="54"/>
      <c r="C7" s="54"/>
      <c r="D7" s="54"/>
      <c r="E7" s="54"/>
      <c r="F7" s="54"/>
      <c r="G7" s="54"/>
      <c r="H7" s="55"/>
      <c r="I7" s="134"/>
      <c r="J7" s="89">
        <f>IFERROR(RDC[[#This Row],[Cost ($)]]/RDC[[#This Row],[Area (ha)]],)</f>
        <v>0</v>
      </c>
      <c r="K7" s="61"/>
    </row>
    <row r="8" spans="1:11" x14ac:dyDescent="0.3">
      <c r="A8" s="54"/>
      <c r="B8" s="54"/>
      <c r="C8" s="54"/>
      <c r="D8" s="54"/>
      <c r="E8" s="54"/>
      <c r="F8" s="54"/>
      <c r="G8" s="54"/>
      <c r="H8" s="55"/>
      <c r="I8" s="134"/>
      <c r="J8" s="89">
        <f>IFERROR(RDC[[#This Row],[Cost ($)]]/RDC[[#This Row],[Area (ha)]],)</f>
        <v>0</v>
      </c>
      <c r="K8" s="61"/>
    </row>
    <row r="9" spans="1:11" x14ac:dyDescent="0.3">
      <c r="A9" s="54"/>
      <c r="B9" s="54"/>
      <c r="C9" s="54"/>
      <c r="D9" s="54"/>
      <c r="E9" s="54"/>
      <c r="F9" s="54"/>
      <c r="G9" s="54"/>
      <c r="H9" s="55"/>
      <c r="I9" s="134"/>
      <c r="J9" s="89">
        <f>IFERROR(RDC[[#This Row],[Cost ($)]]/RDC[[#This Row],[Area (ha)]],)</f>
        <v>0</v>
      </c>
      <c r="K9" s="61"/>
    </row>
    <row r="10" spans="1:11" x14ac:dyDescent="0.3">
      <c r="A10" s="54"/>
      <c r="B10" s="54"/>
      <c r="C10" s="54"/>
      <c r="D10" s="54"/>
      <c r="E10" s="54"/>
      <c r="F10" s="54"/>
      <c r="G10" s="54"/>
      <c r="H10" s="55"/>
      <c r="I10" s="134"/>
      <c r="J10" s="89">
        <f>IFERROR(RDC[[#This Row],[Cost ($)]]/RDC[[#This Row],[Area (ha)]],)</f>
        <v>0</v>
      </c>
      <c r="K10" s="61"/>
    </row>
    <row r="11" spans="1:11" x14ac:dyDescent="0.3">
      <c r="A11" s="54"/>
      <c r="B11" s="54"/>
      <c r="C11" s="54"/>
      <c r="D11" s="54"/>
      <c r="E11" s="54"/>
      <c r="F11" s="54"/>
      <c r="G11" s="54"/>
      <c r="H11" s="55"/>
      <c r="I11" s="134"/>
      <c r="J11" s="89">
        <f>IFERROR(RDC[[#This Row],[Cost ($)]]/RDC[[#This Row],[Area (ha)]],)</f>
        <v>0</v>
      </c>
      <c r="K11" s="61"/>
    </row>
    <row r="12" spans="1:11" x14ac:dyDescent="0.3">
      <c r="A12" s="54"/>
      <c r="B12" s="54"/>
      <c r="C12" s="54"/>
      <c r="D12" s="54"/>
      <c r="E12" s="54"/>
      <c r="F12" s="54"/>
      <c r="G12" s="54"/>
      <c r="H12" s="55"/>
      <c r="I12" s="134"/>
      <c r="J12" s="89">
        <f>IFERROR(RDC[[#This Row],[Cost ($)]]/RDC[[#This Row],[Area (ha)]],)</f>
        <v>0</v>
      </c>
      <c r="K12" s="61"/>
    </row>
    <row r="13" spans="1:11" x14ac:dyDescent="0.3">
      <c r="A13" s="54"/>
      <c r="B13" s="54"/>
      <c r="C13" s="54"/>
      <c r="D13" s="54"/>
      <c r="E13" s="54"/>
      <c r="F13" s="54"/>
      <c r="G13" s="54"/>
      <c r="H13" s="55"/>
      <c r="I13" s="134"/>
      <c r="J13" s="89">
        <f>IFERROR(RDC[[#This Row],[Cost ($)]]/RDC[[#This Row],[Area (ha)]],)</f>
        <v>0</v>
      </c>
      <c r="K13" s="61"/>
    </row>
    <row r="14" spans="1:11" x14ac:dyDescent="0.3">
      <c r="H14" s="31">
        <f>SUBTOTAL(109,RDC[Cost ($)])</f>
        <v>0</v>
      </c>
      <c r="I14" s="135">
        <f>SUBTOTAL(109,RDC[Area (ha)])</f>
        <v>0</v>
      </c>
      <c r="J14" s="116">
        <f>IFERROR(RDC[[#Totals],[Cost ($)]]/RDC[[#Totals],[Area (ha)]],)</f>
        <v>0</v>
      </c>
    </row>
  </sheetData>
  <phoneticPr fontId="14" type="noConversion"/>
  <pageMargins left="0.23622047244094491" right="0.23622047244094491" top="0.74803149606299213" bottom="0.74803149606299213" header="0.31496062992125984" footer="0.31496062992125984"/>
  <pageSetup paperSize="5" scale="94" fitToHeight="0" orientation="landscape" r:id="rId1"/>
  <headerFooter alignWithMargins="0">
    <oddHeader>&amp;L&amp;"-,Bold"Ministry of Forests, Timber Pricing Branch, Coast Log Cost Survey; Tab:&amp;A</oddHeader>
    <oddFooter>&amp;L&amp;F&amp;CConfidential&amp;R&amp;P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3</vt:i4>
      </vt:variant>
    </vt:vector>
  </HeadingPairs>
  <TitlesOfParts>
    <vt:vector size="19" baseType="lpstr">
      <vt:lpstr>Cover </vt:lpstr>
      <vt:lpstr>TDLC</vt:lpstr>
      <vt:lpstr>S1-FMA</vt:lpstr>
      <vt:lpstr>S2-ROAD</vt:lpstr>
      <vt:lpstr>S3-BRDG</vt:lpstr>
      <vt:lpstr>S4-CLVRT</vt:lpstr>
      <vt:lpstr>S5-RD MGT</vt:lpstr>
      <vt:lpstr>S6-SILV</vt:lpstr>
      <vt:lpstr>S7-RDC</vt:lpstr>
      <vt:lpstr>S8-CLT BRN</vt:lpstr>
      <vt:lpstr>S9-HARVEST</vt:lpstr>
      <vt:lpstr>S10-BRG TW</vt:lpstr>
      <vt:lpstr>S11-INLND WTR</vt:lpstr>
      <vt:lpstr>S12-CRN MOD</vt:lpstr>
      <vt:lpstr>S13-LOW BD</vt:lpstr>
      <vt:lpstr>LKUP</vt:lpstr>
      <vt:lpstr>TDLC!Helicopter_Logging</vt:lpstr>
      <vt:lpstr>TDLC!Helicopter_Yarding</vt:lpstr>
      <vt:lpstr>TDLC!Yarding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Nunn, Jason R FOR:EX</dc:creator>
  <cp:keywords/>
  <dc:description/>
  <cp:lastModifiedBy>De Silva-Mitchell, Amali FOR:EX</cp:lastModifiedBy>
  <cp:revision/>
  <cp:lastPrinted>2026-01-05T20:53:19Z</cp:lastPrinted>
  <dcterms:created xsi:type="dcterms:W3CDTF">2024-12-20T19:11:52Z</dcterms:created>
  <dcterms:modified xsi:type="dcterms:W3CDTF">2026-02-05T21:30:40Z</dcterms:modified>
  <cp:category/>
  <cp:contentStatus/>
</cp:coreProperties>
</file>