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drawings/drawing2.xml" ContentType="application/vnd.openxmlformats-officedocument.drawing+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sfp.idir.bcgov\U104\RCHEUNG$\Profile\Desktop\New folder\enterprise budget\"/>
    </mc:Choice>
  </mc:AlternateContent>
  <xr:revisionPtr revIDLastSave="0" documentId="13_ncr:1_{23211935-E806-4109-B348-918802FBEFD1}" xr6:coauthVersionLast="44" xr6:coauthVersionMax="45" xr10:uidLastSave="{00000000-0000-0000-0000-000000000000}"/>
  <bookViews>
    <workbookView xWindow="-110" yWindow="-110" windowWidth="19420" windowHeight="11020" tabRatio="854" xr2:uid="{00000000-000D-0000-FFFF-FFFF00000000}"/>
  </bookViews>
  <sheets>
    <sheet name="Budget Objectives &amp; Assumptions" sheetId="20" r:id="rId1"/>
    <sheet name="Workbook  Instructions" sheetId="26" r:id="rId2"/>
    <sheet name="Producer Input" sheetId="21" r:id="rId3"/>
    <sheet name=" Budget Fert &amp; Spray Inputs" sheetId="23" r:id="rId4"/>
    <sheet name="Budget Operations &amp; Investment" sheetId="28" r:id="rId5"/>
    <sheet name="Ambrosia Budget Summary" sheetId="13" r:id="rId6"/>
    <sheet name="Price &amp; Yield Analysis" sheetId="19" r:id="rId7"/>
    <sheet name="Fert &amp; Micro Nutrients Table" sheetId="5" state="hidden" r:id="rId8"/>
    <sheet name="Chem Data Table" sheetId="4" state="hidden" r:id="rId9"/>
    <sheet name="Operation Sched" sheetId="6" state="hidden" r:id="rId10"/>
    <sheet name="Mach Oper, Rep &amp;  Inv" sheetId="18" state="hidden" r:id="rId11"/>
  </sheets>
  <definedNames>
    <definedName name="Chem">Table1[]</definedName>
    <definedName name="Fuel_Cents_Litre">'Mach Oper, Rep &amp;  Inv'!$M$33</definedName>
    <definedName name="table2">Table27[#All]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21" l="1"/>
  <c r="O38" i="13" l="1"/>
  <c r="O37" i="13"/>
  <c r="O36" i="13"/>
  <c r="K27" i="13"/>
  <c r="K26" i="13"/>
  <c r="O39" i="13" l="1"/>
  <c r="E4" i="19"/>
  <c r="L4" i="19"/>
  <c r="B26" i="18"/>
  <c r="E22" i="28" s="1"/>
  <c r="B17" i="18"/>
  <c r="N19" i="18"/>
  <c r="N26" i="18"/>
  <c r="E20" i="28"/>
  <c r="E19" i="28"/>
  <c r="E18" i="28"/>
  <c r="E17" i="28"/>
  <c r="E16" i="28"/>
  <c r="E14" i="28"/>
  <c r="F13" i="28"/>
  <c r="E13" i="28"/>
  <c r="F12" i="28"/>
  <c r="E12" i="28"/>
  <c r="F11" i="28"/>
  <c r="E11" i="28"/>
  <c r="F10" i="28"/>
  <c r="E10" i="28"/>
  <c r="F9" i="28"/>
  <c r="E9" i="28"/>
  <c r="F8" i="28"/>
  <c r="E8" i="28"/>
  <c r="F7" i="28"/>
  <c r="E7" i="28"/>
  <c r="F6" i="28"/>
  <c r="E6" i="28"/>
  <c r="F5" i="28"/>
  <c r="E5" i="28"/>
  <c r="F4" i="28"/>
  <c r="E4" i="28"/>
  <c r="F3" i="28"/>
  <c r="E3" i="28"/>
  <c r="E2" i="28"/>
  <c r="C13" i="28" l="1"/>
  <c r="B13" i="28"/>
  <c r="C12" i="28"/>
  <c r="B12" i="28"/>
  <c r="C11" i="28"/>
  <c r="B11" i="28"/>
  <c r="C10" i="28"/>
  <c r="B10" i="28"/>
  <c r="C9" i="28"/>
  <c r="B9" i="28"/>
  <c r="C8" i="28"/>
  <c r="B8" i="28"/>
  <c r="C7" i="28"/>
  <c r="B7" i="28"/>
  <c r="C6" i="28"/>
  <c r="B6" i="28"/>
  <c r="C5" i="28"/>
  <c r="B5" i="28"/>
  <c r="C4" i="28"/>
  <c r="B4" i="28"/>
  <c r="C3" i="28"/>
  <c r="B3" i="28"/>
  <c r="C2" i="28"/>
  <c r="B2" i="28"/>
  <c r="O25" i="13" l="1"/>
  <c r="O24" i="13"/>
  <c r="O23" i="13"/>
  <c r="O22" i="13"/>
  <c r="O21" i="13"/>
  <c r="H25" i="13" l="1"/>
  <c r="H24" i="13"/>
  <c r="F57" i="21"/>
  <c r="F56" i="21"/>
  <c r="F55" i="21"/>
  <c r="F50" i="21"/>
  <c r="F19" i="13" s="1"/>
  <c r="F46" i="21"/>
  <c r="F45" i="21"/>
  <c r="F41" i="21"/>
  <c r="E17" i="13" s="1"/>
  <c r="R25" i="6"/>
  <c r="F35" i="21"/>
  <c r="F14" i="13" s="1"/>
  <c r="F22" i="21"/>
  <c r="F11" i="13" s="1"/>
  <c r="K25" i="13"/>
  <c r="K24" i="13"/>
  <c r="K23" i="13"/>
  <c r="K22" i="13"/>
  <c r="K21" i="13"/>
  <c r="K20" i="13"/>
  <c r="K19" i="13"/>
  <c r="K18" i="13"/>
  <c r="K17" i="13"/>
  <c r="K16" i="13"/>
  <c r="K15" i="13"/>
  <c r="K14" i="13"/>
  <c r="K13" i="13"/>
  <c r="K12" i="13"/>
  <c r="K11" i="13"/>
  <c r="K10" i="13"/>
  <c r="K7" i="13"/>
  <c r="N6" i="13"/>
  <c r="O5" i="13"/>
  <c r="N5" i="13"/>
  <c r="M5" i="13"/>
  <c r="K6" i="13"/>
  <c r="E18" i="13" l="1"/>
  <c r="A31" i="5"/>
  <c r="G29" i="5"/>
  <c r="F29" i="5"/>
  <c r="E29" i="5"/>
  <c r="D29" i="5"/>
  <c r="C29" i="5"/>
  <c r="G28" i="5"/>
  <c r="F28" i="5"/>
  <c r="E28" i="5"/>
  <c r="D28" i="5"/>
  <c r="I28" i="5" s="1"/>
  <c r="C28" i="5"/>
  <c r="G27" i="5"/>
  <c r="F27" i="5"/>
  <c r="E27" i="5"/>
  <c r="D27" i="5"/>
  <c r="C27" i="5"/>
  <c r="A25" i="5"/>
  <c r="G23" i="5"/>
  <c r="F23" i="5"/>
  <c r="E23" i="5"/>
  <c r="D23" i="5"/>
  <c r="C23" i="5"/>
  <c r="G22" i="5"/>
  <c r="F22" i="5"/>
  <c r="E22" i="5"/>
  <c r="D22" i="5"/>
  <c r="C22" i="5"/>
  <c r="G21" i="5"/>
  <c r="F21" i="5"/>
  <c r="E21" i="5"/>
  <c r="D21" i="5"/>
  <c r="C21" i="5"/>
  <c r="G20" i="5"/>
  <c r="F20" i="5"/>
  <c r="E20" i="5"/>
  <c r="D20" i="5"/>
  <c r="C20" i="5"/>
  <c r="A18" i="5"/>
  <c r="G16" i="5"/>
  <c r="F16" i="5"/>
  <c r="E16" i="5"/>
  <c r="D16" i="5"/>
  <c r="C16" i="5"/>
  <c r="K5" i="13"/>
  <c r="I27" i="5" l="1"/>
  <c r="I30" i="5" s="1"/>
  <c r="I29" i="5"/>
  <c r="I16" i="5"/>
  <c r="I17" i="5" s="1"/>
  <c r="I18" i="5" s="1"/>
  <c r="F14" i="21" s="1"/>
  <c r="I21" i="5"/>
  <c r="I23" i="5"/>
  <c r="I20" i="5"/>
  <c r="I22" i="5"/>
  <c r="I24" i="5" s="1"/>
  <c r="I25" i="5" l="1"/>
  <c r="F15" i="21"/>
  <c r="I31" i="5"/>
  <c r="F16" i="21"/>
  <c r="G55" i="5"/>
  <c r="F55" i="5"/>
  <c r="E55" i="5"/>
  <c r="D55" i="5"/>
  <c r="C55" i="5"/>
  <c r="G54" i="5"/>
  <c r="F54" i="5"/>
  <c r="E54" i="5"/>
  <c r="D54" i="5"/>
  <c r="C54" i="5"/>
  <c r="G53" i="5"/>
  <c r="F53" i="5"/>
  <c r="E53" i="5"/>
  <c r="D53" i="5"/>
  <c r="C53" i="5"/>
  <c r="G50" i="5"/>
  <c r="F50" i="5"/>
  <c r="E50" i="5"/>
  <c r="D50" i="5"/>
  <c r="C50" i="5"/>
  <c r="G49" i="5"/>
  <c r="F49" i="5"/>
  <c r="E49" i="5"/>
  <c r="D49" i="5"/>
  <c r="C49" i="5"/>
  <c r="G48" i="5"/>
  <c r="F48" i="5"/>
  <c r="E48" i="5"/>
  <c r="D48" i="5"/>
  <c r="C48" i="5"/>
  <c r="G47" i="5"/>
  <c r="F47" i="5"/>
  <c r="E47" i="5"/>
  <c r="D47" i="5"/>
  <c r="C47" i="5"/>
  <c r="G44" i="5"/>
  <c r="F44" i="5"/>
  <c r="E44" i="5"/>
  <c r="D44" i="5"/>
  <c r="C44" i="5"/>
  <c r="G52" i="4"/>
  <c r="F52" i="4"/>
  <c r="E52" i="4"/>
  <c r="D52" i="4"/>
  <c r="C52" i="4"/>
  <c r="G49" i="4"/>
  <c r="F49" i="4"/>
  <c r="E49" i="4"/>
  <c r="D49" i="4"/>
  <c r="C49" i="4"/>
  <c r="G48" i="4"/>
  <c r="F48" i="4"/>
  <c r="E48" i="4"/>
  <c r="D48" i="4"/>
  <c r="C48" i="4"/>
  <c r="G47" i="4"/>
  <c r="F47" i="4"/>
  <c r="E47" i="4"/>
  <c r="D47" i="4"/>
  <c r="C47" i="4"/>
  <c r="G46" i="4"/>
  <c r="F46" i="4"/>
  <c r="E46" i="4"/>
  <c r="D46" i="4"/>
  <c r="C46" i="4"/>
  <c r="G43" i="4"/>
  <c r="F43" i="4"/>
  <c r="E43" i="4"/>
  <c r="D43" i="4"/>
  <c r="C43" i="4"/>
  <c r="G42" i="4"/>
  <c r="F42" i="4"/>
  <c r="E42" i="4"/>
  <c r="D42" i="4"/>
  <c r="C42" i="4"/>
  <c r="G41" i="4"/>
  <c r="F41" i="4"/>
  <c r="E41" i="4"/>
  <c r="D41" i="4"/>
  <c r="C41" i="4"/>
  <c r="G40" i="4"/>
  <c r="F40" i="4"/>
  <c r="E40" i="4"/>
  <c r="D40" i="4"/>
  <c r="C40" i="4"/>
  <c r="G39" i="4"/>
  <c r="F39" i="4"/>
  <c r="E39" i="4"/>
  <c r="D39" i="4"/>
  <c r="C39" i="4"/>
  <c r="G36" i="4"/>
  <c r="F36" i="4"/>
  <c r="E36" i="4"/>
  <c r="D36" i="4"/>
  <c r="C36" i="4"/>
  <c r="G35" i="4"/>
  <c r="F35" i="4"/>
  <c r="E35" i="4"/>
  <c r="D35" i="4"/>
  <c r="C35" i="4"/>
  <c r="G34" i="4"/>
  <c r="F34" i="4"/>
  <c r="E34" i="4"/>
  <c r="D34" i="4"/>
  <c r="C34" i="4"/>
  <c r="G31" i="4"/>
  <c r="F31" i="4"/>
  <c r="E31" i="4"/>
  <c r="D31" i="4"/>
  <c r="C31" i="4"/>
  <c r="G30" i="4"/>
  <c r="F30" i="4"/>
  <c r="E30" i="4"/>
  <c r="D30" i="4"/>
  <c r="C30" i="4"/>
  <c r="G29" i="4"/>
  <c r="F29" i="4"/>
  <c r="E29" i="4"/>
  <c r="D29" i="4"/>
  <c r="C29" i="4"/>
  <c r="G28" i="4"/>
  <c r="F28" i="4"/>
  <c r="E28" i="4"/>
  <c r="D28" i="4"/>
  <c r="C28" i="4"/>
  <c r="G45" i="23"/>
  <c r="F45" i="23"/>
  <c r="E45" i="23"/>
  <c r="D45" i="23"/>
  <c r="C45" i="23"/>
  <c r="G42" i="23"/>
  <c r="F42" i="23"/>
  <c r="E42" i="23"/>
  <c r="D42" i="23"/>
  <c r="C42" i="23"/>
  <c r="G41" i="23"/>
  <c r="F41" i="23"/>
  <c r="E41" i="23"/>
  <c r="D41" i="23"/>
  <c r="C41" i="23"/>
  <c r="G40" i="23"/>
  <c r="F40" i="23"/>
  <c r="E40" i="23"/>
  <c r="D40" i="23"/>
  <c r="C40" i="23"/>
  <c r="G39" i="23"/>
  <c r="F39" i="23"/>
  <c r="E39" i="23"/>
  <c r="D39" i="23"/>
  <c r="C39" i="23"/>
  <c r="G36" i="23"/>
  <c r="F36" i="23"/>
  <c r="E36" i="23"/>
  <c r="D36" i="23"/>
  <c r="C36" i="23"/>
  <c r="G35" i="23"/>
  <c r="F35" i="23"/>
  <c r="E35" i="23"/>
  <c r="D35" i="23"/>
  <c r="C35" i="23"/>
  <c r="G34" i="23"/>
  <c r="F34" i="23"/>
  <c r="E34" i="23"/>
  <c r="D34" i="23"/>
  <c r="C34" i="23"/>
  <c r="G33" i="23"/>
  <c r="F33" i="23"/>
  <c r="E33" i="23"/>
  <c r="D33" i="23"/>
  <c r="C33" i="23"/>
  <c r="G32" i="23"/>
  <c r="F32" i="23"/>
  <c r="E32" i="23"/>
  <c r="D32" i="23"/>
  <c r="C32" i="23"/>
  <c r="G29" i="23"/>
  <c r="F29" i="23"/>
  <c r="E29" i="23"/>
  <c r="D29" i="23"/>
  <c r="C29" i="23"/>
  <c r="G28" i="23"/>
  <c r="F28" i="23"/>
  <c r="E28" i="23"/>
  <c r="D28" i="23"/>
  <c r="C28" i="23"/>
  <c r="G27" i="23"/>
  <c r="F27" i="23"/>
  <c r="E27" i="23"/>
  <c r="D27" i="23"/>
  <c r="C27" i="23"/>
  <c r="G24" i="23"/>
  <c r="F24" i="23"/>
  <c r="E24" i="23"/>
  <c r="D24" i="23"/>
  <c r="C24" i="23"/>
  <c r="G23" i="23"/>
  <c r="F23" i="23"/>
  <c r="E23" i="23"/>
  <c r="D23" i="23"/>
  <c r="C23" i="23"/>
  <c r="G22" i="23"/>
  <c r="F22" i="23"/>
  <c r="E22" i="23"/>
  <c r="D22" i="23"/>
  <c r="C22" i="23"/>
  <c r="G21" i="23"/>
  <c r="F21" i="23"/>
  <c r="E21" i="23"/>
  <c r="D21" i="23"/>
  <c r="C21" i="23"/>
  <c r="G15" i="23"/>
  <c r="F15" i="23"/>
  <c r="E15" i="23"/>
  <c r="D15" i="23"/>
  <c r="C15" i="23"/>
  <c r="G14" i="23"/>
  <c r="F14" i="23"/>
  <c r="E14" i="23"/>
  <c r="D14" i="23"/>
  <c r="C14" i="23"/>
  <c r="G13" i="23"/>
  <c r="F13" i="23"/>
  <c r="E13" i="23"/>
  <c r="D13" i="23"/>
  <c r="C13" i="23"/>
  <c r="G10" i="23"/>
  <c r="F10" i="23"/>
  <c r="E10" i="23"/>
  <c r="D10" i="23"/>
  <c r="C10" i="23"/>
  <c r="G9" i="23"/>
  <c r="F9" i="23"/>
  <c r="E9" i="23"/>
  <c r="D9" i="23"/>
  <c r="C9" i="23"/>
  <c r="G8" i="23"/>
  <c r="F8" i="23"/>
  <c r="E8" i="23"/>
  <c r="D8" i="23"/>
  <c r="C8" i="23"/>
  <c r="G7" i="23"/>
  <c r="F7" i="23"/>
  <c r="E7" i="23"/>
  <c r="D7" i="23"/>
  <c r="C7" i="23"/>
  <c r="G4" i="23"/>
  <c r="F4" i="23"/>
  <c r="E4" i="23"/>
  <c r="D4" i="23"/>
  <c r="C4" i="23"/>
  <c r="I47" i="5" l="1"/>
  <c r="I49" i="5"/>
  <c r="H8" i="13"/>
  <c r="I35" i="4"/>
  <c r="I47" i="4"/>
  <c r="I49" i="4"/>
  <c r="I44" i="5"/>
  <c r="I45" i="5" s="1"/>
  <c r="I54" i="5"/>
  <c r="I48" i="5"/>
  <c r="I50" i="5"/>
  <c r="I53" i="5"/>
  <c r="I55" i="5"/>
  <c r="I29" i="4"/>
  <c r="I31" i="4"/>
  <c r="I39" i="4"/>
  <c r="I41" i="4"/>
  <c r="I43" i="4"/>
  <c r="I28" i="4"/>
  <c r="I30" i="4"/>
  <c r="I34" i="4"/>
  <c r="I36" i="4"/>
  <c r="I40" i="4"/>
  <c r="I42" i="4"/>
  <c r="I46" i="4"/>
  <c r="I48" i="4"/>
  <c r="I52" i="4"/>
  <c r="I53" i="4" s="1"/>
  <c r="F21" i="21" s="1"/>
  <c r="I8" i="23"/>
  <c r="I10" i="23"/>
  <c r="I13" i="23"/>
  <c r="I15" i="23"/>
  <c r="I21" i="23"/>
  <c r="I23" i="23"/>
  <c r="I28" i="23"/>
  <c r="I33" i="23"/>
  <c r="I35" i="23"/>
  <c r="I40" i="23"/>
  <c r="I42" i="23"/>
  <c r="I4" i="23"/>
  <c r="I5" i="23" s="1"/>
  <c r="I7" i="23"/>
  <c r="I9" i="23"/>
  <c r="I14" i="23"/>
  <c r="I22" i="23"/>
  <c r="I24" i="23"/>
  <c r="I27" i="23"/>
  <c r="I29" i="23"/>
  <c r="I32" i="23"/>
  <c r="I34" i="23"/>
  <c r="I36" i="23"/>
  <c r="I39" i="23"/>
  <c r="I41" i="23"/>
  <c r="I45" i="23"/>
  <c r="I46" i="23" s="1"/>
  <c r="I56" i="5" l="1"/>
  <c r="I51" i="5"/>
  <c r="I57" i="5"/>
  <c r="I44" i="4"/>
  <c r="F19" i="21" s="1"/>
  <c r="I50" i="4"/>
  <c r="F20" i="21" s="1"/>
  <c r="I37" i="4"/>
  <c r="F18" i="21" s="1"/>
  <c r="I32" i="4"/>
  <c r="F17" i="21" s="1"/>
  <c r="H9" i="13" s="1"/>
  <c r="I16" i="23"/>
  <c r="I43" i="23"/>
  <c r="I25" i="23"/>
  <c r="I11" i="23"/>
  <c r="I37" i="23"/>
  <c r="I30" i="23"/>
  <c r="I47" i="23" l="1"/>
  <c r="I17" i="23"/>
  <c r="I54" i="4"/>
  <c r="G10" i="21" l="1"/>
  <c r="L6" i="13" s="1"/>
  <c r="G7" i="21"/>
  <c r="E9" i="18"/>
  <c r="G6" i="28" s="1"/>
  <c r="E16" i="18" l="1"/>
  <c r="G13" i="28" s="1"/>
  <c r="E15" i="18"/>
  <c r="G12" i="28" s="1"/>
  <c r="E14" i="18"/>
  <c r="G11" i="28" s="1"/>
  <c r="E13" i="18"/>
  <c r="G10" i="28" s="1"/>
  <c r="E12" i="18"/>
  <c r="G9" i="28" s="1"/>
  <c r="E11" i="18"/>
  <c r="G8" i="28" s="1"/>
  <c r="E10" i="18"/>
  <c r="G7" i="28" s="1"/>
  <c r="E8" i="18"/>
  <c r="G5" i="28" s="1"/>
  <c r="E7" i="18"/>
  <c r="G4" i="28" s="1"/>
  <c r="E6" i="18"/>
  <c r="G3" i="28" s="1"/>
  <c r="E5" i="18"/>
  <c r="G2" i="28" s="1"/>
  <c r="D5" i="18"/>
  <c r="F2" i="28" s="1"/>
  <c r="G45" i="21"/>
  <c r="G46" i="21"/>
  <c r="G50" i="21"/>
  <c r="F6" i="13"/>
  <c r="B6" i="13"/>
  <c r="G39" i="21"/>
  <c r="AE5" i="6"/>
  <c r="Z8" i="6"/>
  <c r="M33" i="18" l="1"/>
  <c r="H23" i="13"/>
  <c r="H22" i="13"/>
  <c r="H21" i="13"/>
  <c r="G35" i="21"/>
  <c r="G6" i="21"/>
  <c r="G8" i="21" s="1"/>
  <c r="G4" i="21"/>
  <c r="F8" i="21"/>
  <c r="F11" i="21" s="1"/>
  <c r="D4" i="19" l="1"/>
  <c r="F4" i="19"/>
  <c r="G11" i="21"/>
  <c r="E6" i="13"/>
  <c r="F9" i="21"/>
  <c r="G13" i="21" l="1"/>
  <c r="O6" i="13" s="1"/>
  <c r="M6" i="13"/>
  <c r="I7" i="19"/>
  <c r="C4" i="19"/>
  <c r="G4" i="19"/>
  <c r="B7" i="19"/>
  <c r="G9" i="21"/>
  <c r="F52" i="21"/>
  <c r="F42" i="21"/>
  <c r="D17" i="13"/>
  <c r="I8" i="19" l="1"/>
  <c r="I9" i="19" s="1"/>
  <c r="I6" i="19"/>
  <c r="I5" i="19" s="1"/>
  <c r="M4" i="19"/>
  <c r="K4" i="19"/>
  <c r="G47" i="21"/>
  <c r="G52" i="21"/>
  <c r="G42" i="21"/>
  <c r="N4" i="19" l="1"/>
  <c r="J4" i="19"/>
  <c r="K6" i="6"/>
  <c r="L6" i="6" l="1"/>
  <c r="L22" i="6" s="1"/>
  <c r="L24" i="6" l="1"/>
  <c r="F28" i="21" s="1"/>
  <c r="H12" i="13" s="1"/>
  <c r="F27" i="21"/>
  <c r="Q3" i="6"/>
  <c r="G27" i="21" l="1"/>
  <c r="E12" i="13"/>
  <c r="K8" i="13"/>
  <c r="K9" i="13"/>
  <c r="K13" i="5" l="1"/>
  <c r="E20" i="18"/>
  <c r="G17" i="28" s="1"/>
  <c r="T22" i="18"/>
  <c r="E21" i="18"/>
  <c r="G18" i="28" s="1"/>
  <c r="T23" i="18"/>
  <c r="E22" i="18"/>
  <c r="G19" i="28" s="1"/>
  <c r="T24" i="18"/>
  <c r="E23" i="18"/>
  <c r="G20" i="28" s="1"/>
  <c r="T25" i="18"/>
  <c r="B24" i="18"/>
  <c r="E21" i="28" s="1"/>
  <c r="E24" i="18"/>
  <c r="G21" i="28" s="1"/>
  <c r="J19" i="6"/>
  <c r="N19" i="6"/>
  <c r="P19" i="6"/>
  <c r="R19" i="6"/>
  <c r="T19" i="6"/>
  <c r="T9" i="6"/>
  <c r="R9" i="6"/>
  <c r="N9" i="6"/>
  <c r="J7" i="6"/>
  <c r="N7" i="6"/>
  <c r="P7" i="6"/>
  <c r="R7" i="6"/>
  <c r="T7" i="6"/>
  <c r="Z7" i="6"/>
  <c r="AE7" i="6" l="1"/>
  <c r="T26" i="18"/>
  <c r="E26" i="18" l="1"/>
  <c r="G22" i="28" s="1"/>
  <c r="E17" i="18"/>
  <c r="G14" i="28" s="1"/>
  <c r="R15" i="18"/>
  <c r="R8" i="18"/>
  <c r="T8" i="18" s="1"/>
  <c r="R13" i="18"/>
  <c r="T13" i="18" s="1"/>
  <c r="AA8" i="6" s="1"/>
  <c r="R16" i="18"/>
  <c r="T16" i="18" s="1"/>
  <c r="AF7" i="6" s="1"/>
  <c r="R11" i="18"/>
  <c r="T11" i="18" s="1"/>
  <c r="R6" i="18"/>
  <c r="T6" i="18" s="1"/>
  <c r="AF5" i="6" s="1"/>
  <c r="R14" i="18"/>
  <c r="T14" i="18" s="1"/>
  <c r="R7" i="18"/>
  <c r="T7" i="18" s="1"/>
  <c r="R10" i="18"/>
  <c r="R12" i="18"/>
  <c r="S12" i="18" s="1"/>
  <c r="R9" i="18"/>
  <c r="T9" i="18" s="1"/>
  <c r="AA12" i="6" s="1"/>
  <c r="S10" i="18" l="1"/>
  <c r="T10" i="18" s="1"/>
  <c r="T15" i="18"/>
  <c r="AA5" i="6" s="1"/>
  <c r="S15" i="18"/>
  <c r="AA15" i="6"/>
  <c r="AA7" i="6"/>
  <c r="T12" i="18"/>
  <c r="J4" i="5" l="1"/>
  <c r="I4" i="5"/>
  <c r="N16" i="6"/>
  <c r="P16" i="6"/>
  <c r="R16" i="6"/>
  <c r="T16" i="6"/>
  <c r="AE15" i="6" l="1"/>
  <c r="AF15" i="6" s="1"/>
  <c r="P20" i="6"/>
  <c r="R20" i="6"/>
  <c r="T20" i="6"/>
  <c r="I12" i="6"/>
  <c r="Z11" i="6"/>
  <c r="J11" i="6"/>
  <c r="Z10" i="6"/>
  <c r="J5" i="6"/>
  <c r="J18" i="6"/>
  <c r="J17" i="6"/>
  <c r="J14" i="6"/>
  <c r="J13" i="6"/>
  <c r="J10" i="6"/>
  <c r="AE10" i="6" l="1"/>
  <c r="AF10" i="6" s="1"/>
  <c r="AA10" i="6"/>
  <c r="AE11" i="6"/>
  <c r="AF11" i="6" s="1"/>
  <c r="AA11" i="6"/>
  <c r="J12" i="6"/>
  <c r="AI8" i="6"/>
  <c r="AI11" i="6" l="1"/>
  <c r="AI7" i="6"/>
  <c r="AI10" i="6"/>
  <c r="K5" i="4" l="1"/>
  <c r="J10" i="5"/>
  <c r="K21" i="4" l="1"/>
  <c r="K20" i="4"/>
  <c r="K19" i="4"/>
  <c r="K18" i="4"/>
  <c r="K17" i="4"/>
  <c r="K16" i="4"/>
  <c r="K15" i="4"/>
  <c r="K14" i="4"/>
  <c r="K13" i="4"/>
  <c r="K12" i="4"/>
  <c r="K11" i="4"/>
  <c r="K10" i="4"/>
  <c r="K9" i="4"/>
  <c r="K8" i="4"/>
  <c r="K7" i="4"/>
  <c r="K6" i="4"/>
  <c r="N21" i="4"/>
  <c r="N20" i="4"/>
  <c r="N19" i="4"/>
  <c r="K23" i="4" l="1"/>
  <c r="N18" i="4"/>
  <c r="N17" i="4"/>
  <c r="N16" i="4"/>
  <c r="N15" i="4"/>
  <c r="N14" i="4"/>
  <c r="N13" i="4"/>
  <c r="N12" i="4"/>
  <c r="N11" i="4"/>
  <c r="N10" i="4"/>
  <c r="N9" i="4"/>
  <c r="N8" i="4"/>
  <c r="N7" i="4"/>
  <c r="N6" i="4"/>
  <c r="N5" i="4"/>
  <c r="G18" i="21" l="1"/>
  <c r="J21" i="6"/>
  <c r="J20" i="6"/>
  <c r="J22" i="6" s="1"/>
  <c r="T18" i="6"/>
  <c r="T17" i="6"/>
  <c r="T14" i="6"/>
  <c r="T13" i="6"/>
  <c r="T12" i="6"/>
  <c r="T11" i="6"/>
  <c r="T10" i="6"/>
  <c r="T8" i="6"/>
  <c r="T6" i="6"/>
  <c r="T5" i="6"/>
  <c r="R18" i="6"/>
  <c r="R17" i="6"/>
  <c r="R15" i="6"/>
  <c r="R13" i="6"/>
  <c r="R12" i="6"/>
  <c r="R11" i="6"/>
  <c r="R10" i="6"/>
  <c r="R8" i="6"/>
  <c r="R6" i="6"/>
  <c r="R5" i="6"/>
  <c r="P18" i="6"/>
  <c r="P17" i="6"/>
  <c r="P15" i="6"/>
  <c r="P14" i="6"/>
  <c r="P13" i="6"/>
  <c r="P12" i="6"/>
  <c r="P11" i="6"/>
  <c r="P10" i="6"/>
  <c r="P8" i="6"/>
  <c r="P6" i="6"/>
  <c r="P5" i="6"/>
  <c r="N21" i="6"/>
  <c r="N18" i="6"/>
  <c r="N15" i="6"/>
  <c r="N13" i="6"/>
  <c r="N12" i="6"/>
  <c r="N11" i="6"/>
  <c r="N10" i="6"/>
  <c r="N6" i="6"/>
  <c r="N5" i="6"/>
  <c r="R22" i="6" l="1"/>
  <c r="R24" i="6" s="1"/>
  <c r="F43" i="21" s="1"/>
  <c r="G21" i="21"/>
  <c r="G19" i="21"/>
  <c r="G43" i="21" l="1"/>
  <c r="G44" i="21" s="1"/>
  <c r="O17" i="13" s="1"/>
  <c r="H17" i="13"/>
  <c r="G20" i="21"/>
  <c r="G17" i="21"/>
  <c r="O9" i="13" s="1"/>
  <c r="H27" i="6"/>
  <c r="D19" i="13"/>
  <c r="D18" i="13" s="1"/>
  <c r="F47" i="21" l="1"/>
  <c r="H16" i="6"/>
  <c r="F48" i="21" s="1"/>
  <c r="W8" i="6"/>
  <c r="G48" i="21" l="1"/>
  <c r="G49" i="21" s="1"/>
  <c r="O18" i="13" s="1"/>
  <c r="H18" i="13"/>
  <c r="AG13" i="6"/>
  <c r="I5" i="5" l="1"/>
  <c r="J5" i="5" s="1"/>
  <c r="J12" i="5" l="1"/>
  <c r="J11" i="5"/>
  <c r="J9" i="5"/>
  <c r="J8" i="5"/>
  <c r="J7" i="5"/>
  <c r="J6" i="5"/>
  <c r="G15" i="21" l="1"/>
  <c r="N14" i="6"/>
  <c r="G16" i="21" l="1"/>
  <c r="N20" i="6"/>
  <c r="AG20" i="6"/>
  <c r="N17" i="6"/>
  <c r="AI12" i="6" l="1"/>
  <c r="AG5" i="6" l="1"/>
  <c r="AG15" i="6"/>
  <c r="AB6" i="6"/>
  <c r="AB15" i="6"/>
  <c r="AB13" i="6"/>
  <c r="AB12" i="6" l="1"/>
  <c r="AI17" i="6" l="1"/>
  <c r="AI15" i="6"/>
  <c r="AI5" i="6" l="1"/>
  <c r="AB5" i="6"/>
  <c r="AJ22" i="6" s="1"/>
  <c r="H22" i="6" l="1"/>
  <c r="AI22" i="6" l="1"/>
  <c r="F40" i="21" s="1"/>
  <c r="H15" i="13" s="1"/>
  <c r="G40" i="21" l="1"/>
  <c r="O15" i="13" s="1"/>
  <c r="B6" i="19" l="1"/>
  <c r="B8" i="19"/>
  <c r="B5" i="19" l="1"/>
  <c r="B9" i="19"/>
  <c r="G28" i="21" l="1"/>
  <c r="F13" i="21" l="1"/>
  <c r="H6" i="13" s="1"/>
  <c r="F23" i="21" l="1"/>
  <c r="J24" i="6"/>
  <c r="F24" i="21" s="1"/>
  <c r="G23" i="21" l="1"/>
  <c r="E11" i="13"/>
  <c r="H11" i="13"/>
  <c r="G24" i="21"/>
  <c r="F26" i="21"/>
  <c r="G25" i="21" l="1"/>
  <c r="O11" i="13" s="1"/>
  <c r="G26" i="21"/>
  <c r="G29" i="21" s="1"/>
  <c r="F12" i="13"/>
  <c r="V7" i="6"/>
  <c r="W7" i="6" s="1"/>
  <c r="V5" i="6"/>
  <c r="X5" i="6" s="1"/>
  <c r="V18" i="6"/>
  <c r="W18" i="6" s="1"/>
  <c r="V13" i="6"/>
  <c r="X13" i="6" s="1"/>
  <c r="V14" i="6"/>
  <c r="X14" i="6" s="1"/>
  <c r="V6" i="6"/>
  <c r="V21" i="6"/>
  <c r="V19" i="6"/>
  <c r="V10" i="6"/>
  <c r="W10" i="6" s="1"/>
  <c r="V17" i="6"/>
  <c r="X17" i="6" s="1"/>
  <c r="V20" i="6"/>
  <c r="X20" i="6" s="1"/>
  <c r="V15" i="6"/>
  <c r="X15" i="6" s="1"/>
  <c r="V12" i="6"/>
  <c r="V11" i="6"/>
  <c r="F30" i="21"/>
  <c r="O12" i="13" l="1"/>
  <c r="G30" i="21"/>
  <c r="F13" i="13"/>
  <c r="V22" i="6"/>
  <c r="W22" i="6"/>
  <c r="X6" i="6"/>
  <c r="X22" i="6" s="1"/>
  <c r="M8" i="6"/>
  <c r="N8" i="6" s="1"/>
  <c r="N22" i="6" s="1"/>
  <c r="F31" i="21"/>
  <c r="G31" i="21" s="1"/>
  <c r="G32" i="21" s="1"/>
  <c r="N24" i="6" l="1"/>
  <c r="F33" i="21" s="1"/>
  <c r="F32" i="21"/>
  <c r="E13" i="13" s="1"/>
  <c r="O9" i="6"/>
  <c r="P9" i="6" s="1"/>
  <c r="P22" i="6" s="1"/>
  <c r="H13" i="13" l="1"/>
  <c r="G33" i="21"/>
  <c r="G34" i="21" s="1"/>
  <c r="P24" i="6"/>
  <c r="F37" i="21" s="1"/>
  <c r="F36" i="21"/>
  <c r="G36" i="21" l="1"/>
  <c r="E14" i="13"/>
  <c r="O13" i="13"/>
  <c r="G37" i="21"/>
  <c r="H14" i="13"/>
  <c r="F51" i="21"/>
  <c r="G51" i="21" s="1"/>
  <c r="S15" i="6"/>
  <c r="T15" i="6" s="1"/>
  <c r="T22" i="6" s="1"/>
  <c r="T24" i="6" s="1"/>
  <c r="F53" i="21" s="1"/>
  <c r="G38" i="21" l="1"/>
  <c r="O14" i="13" s="1"/>
  <c r="G53" i="21"/>
  <c r="H19" i="13"/>
  <c r="H26" i="13" s="1"/>
  <c r="G54" i="21"/>
  <c r="G14" i="21"/>
  <c r="O8" i="13" s="1"/>
  <c r="E8" i="19" l="1"/>
  <c r="H27" i="13"/>
  <c r="E6" i="19"/>
  <c r="F7" i="19"/>
  <c r="D6" i="19"/>
  <c r="G6" i="19"/>
  <c r="C5" i="19"/>
  <c r="C6" i="19"/>
  <c r="O19" i="13"/>
  <c r="O26" i="13" s="1"/>
  <c r="G9" i="19" l="1"/>
  <c r="C8" i="19"/>
  <c r="F5" i="19"/>
  <c r="D9" i="19"/>
  <c r="D7" i="19"/>
  <c r="E9" i="19"/>
  <c r="C7" i="19"/>
  <c r="G5" i="19"/>
  <c r="G8" i="19"/>
  <c r="C9" i="19"/>
  <c r="G7" i="19"/>
  <c r="F6" i="19"/>
  <c r="F9" i="19"/>
  <c r="D5" i="19"/>
  <c r="F8" i="19"/>
  <c r="D8" i="19"/>
  <c r="E7" i="19"/>
  <c r="E5" i="19"/>
  <c r="O27" i="13"/>
  <c r="O34" i="13" s="1"/>
  <c r="L9" i="19"/>
  <c r="L5" i="19"/>
  <c r="L6" i="19"/>
  <c r="L7" i="19"/>
  <c r="L8" i="19"/>
  <c r="M6" i="19"/>
  <c r="M7" i="19"/>
  <c r="K6" i="19"/>
  <c r="K7" i="19"/>
  <c r="M8" i="19"/>
  <c r="M9" i="19"/>
  <c r="M5" i="19"/>
  <c r="K8" i="19"/>
  <c r="K9" i="19"/>
  <c r="K5" i="19"/>
  <c r="J9" i="19"/>
  <c r="J5" i="19"/>
  <c r="J6" i="19"/>
  <c r="N7" i="19"/>
  <c r="N8" i="19"/>
  <c r="J7" i="19"/>
  <c r="J8" i="19"/>
  <c r="N9" i="19"/>
  <c r="N5" i="19"/>
  <c r="N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8" authorId="0" shapeId="0" xr:uid="{00000000-0006-0000-0200-000001000000}">
      <text>
        <r>
          <rPr>
            <b/>
            <sz val="9"/>
            <color indexed="81"/>
            <rFont val="Tahoma"/>
            <family val="2"/>
          </rPr>
          <t>Protected Cell:
Calculation = Density(Trees/Acre) *Yield/Tree)</t>
        </r>
      </text>
    </comment>
    <comment ref="F14" authorId="0" shapeId="0" xr:uid="{00000000-0006-0000-0200-000002000000}">
      <text>
        <r>
          <rPr>
            <b/>
            <sz val="9"/>
            <color indexed="81"/>
            <rFont val="Tahoma"/>
            <family val="2"/>
          </rPr>
          <t>From Fertilizer &amp; Nutrients Table</t>
        </r>
      </text>
    </comment>
    <comment ref="F15" authorId="0" shapeId="0" xr:uid="{00000000-0006-0000-0200-000003000000}">
      <text>
        <r>
          <rPr>
            <b/>
            <sz val="9"/>
            <color indexed="81"/>
            <rFont val="Tahoma"/>
            <family val="2"/>
          </rPr>
          <t>From Fertilizer &amp; Nutrients Table</t>
        </r>
      </text>
    </comment>
    <comment ref="F16" authorId="0" shapeId="0" xr:uid="{00000000-0006-0000-0200-000004000000}">
      <text>
        <r>
          <rPr>
            <b/>
            <sz val="9"/>
            <color indexed="81"/>
            <rFont val="Tahoma"/>
            <family val="2"/>
          </rPr>
          <t>From Fertilizer &amp; Nutrients Table</t>
        </r>
      </text>
    </comment>
    <comment ref="F17" authorId="0" shapeId="0" xr:uid="{00000000-0006-0000-0200-000005000000}">
      <text>
        <r>
          <rPr>
            <b/>
            <sz val="9"/>
            <color indexed="81"/>
            <rFont val="Tahoma"/>
            <family val="2"/>
          </rPr>
          <t xml:space="preserve">From Chemical Data Column
</t>
        </r>
      </text>
    </comment>
    <comment ref="F18" authorId="0" shapeId="0" xr:uid="{00000000-0006-0000-0200-000006000000}">
      <text>
        <r>
          <rPr>
            <b/>
            <sz val="9"/>
            <color indexed="81"/>
            <rFont val="Tahoma"/>
            <family val="2"/>
          </rPr>
          <t xml:space="preserve">From Chemical Data Column
</t>
        </r>
      </text>
    </comment>
    <comment ref="F19" authorId="0" shapeId="0" xr:uid="{00000000-0006-0000-0200-000007000000}">
      <text>
        <r>
          <rPr>
            <b/>
            <sz val="9"/>
            <color indexed="81"/>
            <rFont val="Tahoma"/>
            <family val="2"/>
          </rPr>
          <t xml:space="preserve">From Chemical Data Column
</t>
        </r>
      </text>
    </comment>
    <comment ref="F20" authorId="0" shapeId="0" xr:uid="{00000000-0006-0000-0200-000008000000}">
      <text>
        <r>
          <rPr>
            <b/>
            <sz val="9"/>
            <color indexed="81"/>
            <rFont val="Tahoma"/>
            <family val="2"/>
          </rPr>
          <t xml:space="preserve">From Chemical Data Column
</t>
        </r>
      </text>
    </comment>
    <comment ref="F21" authorId="0" shapeId="0" xr:uid="{00000000-0006-0000-0200-000009000000}">
      <text>
        <r>
          <rPr>
            <b/>
            <sz val="9"/>
            <color indexed="81"/>
            <rFont val="Tahoma"/>
            <family val="2"/>
          </rPr>
          <t xml:space="preserve">From Chemical Data Column
</t>
        </r>
      </text>
    </comment>
    <comment ref="F22" authorId="0" shapeId="0" xr:uid="{00000000-0006-0000-0200-00000A000000}">
      <text>
        <r>
          <rPr>
            <b/>
            <sz val="9"/>
            <color indexed="81"/>
            <rFont val="Tahoma"/>
            <family val="2"/>
          </rPr>
          <t xml:space="preserve">From Oper Schedule
</t>
        </r>
      </text>
    </comment>
    <comment ref="F23" authorId="0" shapeId="0" xr:uid="{00000000-0006-0000-0200-00000B000000}">
      <text>
        <r>
          <rPr>
            <b/>
            <sz val="9"/>
            <color indexed="81"/>
            <rFont val="Tahoma"/>
            <family val="2"/>
          </rPr>
          <t xml:space="preserve">From Oper Schedule
</t>
        </r>
      </text>
    </comment>
    <comment ref="F24" authorId="0" shapeId="0" xr:uid="{00000000-0006-0000-0200-00000C000000}">
      <text>
        <r>
          <rPr>
            <b/>
            <sz val="9"/>
            <color indexed="81"/>
            <rFont val="Tahoma"/>
            <family val="2"/>
          </rPr>
          <t xml:space="preserve">From Oper Schedule
</t>
        </r>
      </text>
    </comment>
    <comment ref="G24" authorId="0" shapeId="0" xr:uid="{00000000-0006-0000-0200-00000D000000}">
      <text>
        <r>
          <rPr>
            <b/>
            <sz val="9"/>
            <color indexed="81"/>
            <rFont val="Tahoma"/>
            <family val="2"/>
          </rPr>
          <t>Entering value here will overide computer generated calculation using Hrs/Acre*Wage Rate</t>
        </r>
      </text>
    </comment>
    <comment ref="G25" authorId="0" shapeId="0" xr:uid="{00000000-0006-0000-0200-00000E000000}">
      <text>
        <r>
          <rPr>
            <b/>
            <sz val="9"/>
            <color indexed="81"/>
            <rFont val="Tahoma"/>
            <family val="2"/>
          </rPr>
          <t xml:space="preserve">Locked cell
</t>
        </r>
      </text>
    </comment>
    <comment ref="F26" authorId="0" shapeId="0" xr:uid="{00000000-0006-0000-0200-00000F000000}">
      <text>
        <r>
          <rPr>
            <b/>
            <sz val="9"/>
            <color indexed="81"/>
            <rFont val="Tahoma"/>
            <family val="2"/>
          </rPr>
          <t xml:space="preserve">From Oper Schedule
</t>
        </r>
      </text>
    </comment>
    <comment ref="F27" authorId="0" shapeId="0" xr:uid="{00000000-0006-0000-0200-000010000000}">
      <text>
        <r>
          <rPr>
            <b/>
            <sz val="9"/>
            <color indexed="81"/>
            <rFont val="Tahoma"/>
            <family val="2"/>
          </rPr>
          <t xml:space="preserve">From Oper Schedule
</t>
        </r>
      </text>
    </comment>
    <comment ref="F28" authorId="0" shapeId="0" xr:uid="{00000000-0006-0000-0200-000011000000}">
      <text>
        <r>
          <rPr>
            <b/>
            <sz val="9"/>
            <color indexed="81"/>
            <rFont val="Tahoma"/>
            <family val="2"/>
          </rPr>
          <t xml:space="preserve">From Oper Schedule
</t>
        </r>
      </text>
    </comment>
    <comment ref="G28" authorId="0" shapeId="0" xr:uid="{00000000-0006-0000-0200-000012000000}">
      <text>
        <r>
          <rPr>
            <b/>
            <sz val="9"/>
            <color indexed="81"/>
            <rFont val="Tahoma"/>
            <family val="2"/>
          </rPr>
          <t>Entering value here will overide computer generated calculation, Hrs/Acre*Wage Rate</t>
        </r>
      </text>
    </comment>
    <comment ref="G29" authorId="0" shapeId="0" xr:uid="{00000000-0006-0000-0200-000013000000}">
      <text>
        <r>
          <rPr>
            <b/>
            <sz val="9"/>
            <color indexed="81"/>
            <rFont val="Tahoma"/>
            <family val="2"/>
          </rPr>
          <t xml:space="preserve">Locked cell
</t>
        </r>
      </text>
    </comment>
    <comment ref="F30" authorId="0" shapeId="0" xr:uid="{00000000-0006-0000-0200-000014000000}">
      <text>
        <r>
          <rPr>
            <b/>
            <sz val="9"/>
            <color indexed="81"/>
            <rFont val="Tahoma"/>
            <family val="2"/>
          </rPr>
          <t xml:space="preserve">From Oper Schedule
</t>
        </r>
      </text>
    </comment>
    <comment ref="F31" authorId="0" shapeId="0" xr:uid="{00000000-0006-0000-0200-000015000000}">
      <text>
        <r>
          <rPr>
            <b/>
            <sz val="9"/>
            <color indexed="81"/>
            <rFont val="Tahoma"/>
            <family val="2"/>
          </rPr>
          <t xml:space="preserve">From Oper Schedule
</t>
        </r>
      </text>
    </comment>
    <comment ref="F32" authorId="0" shapeId="0" xr:uid="{00000000-0006-0000-0200-000016000000}">
      <text>
        <r>
          <rPr>
            <b/>
            <sz val="9"/>
            <color indexed="81"/>
            <rFont val="Tahoma"/>
            <family val="2"/>
          </rPr>
          <t xml:space="preserve">From Oper Schedule
</t>
        </r>
      </text>
    </comment>
    <comment ref="G32" authorId="0" shapeId="0" xr:uid="{00000000-0006-0000-0200-000017000000}">
      <text>
        <r>
          <rPr>
            <b/>
            <sz val="9"/>
            <color indexed="81"/>
            <rFont val="Tahoma"/>
            <family val="2"/>
          </rPr>
          <t>Locked cell: Calculation made using: (Minutes/Tree * Density, Trees/Acre)/60 minutes/Hr.* Hourly Labour Rate</t>
        </r>
      </text>
    </comment>
    <comment ref="F33" authorId="0" shapeId="0" xr:uid="{00000000-0006-0000-0200-000018000000}">
      <text>
        <r>
          <rPr>
            <b/>
            <sz val="9"/>
            <color indexed="81"/>
            <rFont val="Tahoma"/>
            <family val="2"/>
          </rPr>
          <t xml:space="preserve">From Oper Schedule
</t>
        </r>
      </text>
    </comment>
    <comment ref="G34" authorId="0" shapeId="0" xr:uid="{00000000-0006-0000-0200-000019000000}">
      <text>
        <r>
          <rPr>
            <b/>
            <sz val="9"/>
            <color indexed="81"/>
            <rFont val="Tahoma"/>
            <family val="2"/>
          </rPr>
          <t xml:space="preserve">Locked cell
</t>
        </r>
      </text>
    </comment>
    <comment ref="F35" authorId="0" shapeId="0" xr:uid="{00000000-0006-0000-0200-00001A000000}">
      <text>
        <r>
          <rPr>
            <b/>
            <sz val="9"/>
            <color indexed="81"/>
            <rFont val="Tahoma"/>
            <family val="2"/>
          </rPr>
          <t xml:space="preserve">From Oper Schedule
</t>
        </r>
      </text>
    </comment>
    <comment ref="F36" authorId="0" shapeId="0" xr:uid="{00000000-0006-0000-0200-00001B000000}">
      <text>
        <r>
          <rPr>
            <b/>
            <sz val="9"/>
            <color indexed="81"/>
            <rFont val="Tahoma"/>
            <family val="2"/>
          </rPr>
          <t xml:space="preserve">From Oper Schedule
</t>
        </r>
      </text>
    </comment>
    <comment ref="F37" authorId="0" shapeId="0" xr:uid="{00000000-0006-0000-0200-00001C000000}">
      <text>
        <r>
          <rPr>
            <b/>
            <sz val="9"/>
            <color indexed="81"/>
            <rFont val="Tahoma"/>
            <family val="2"/>
          </rPr>
          <t xml:space="preserve">From Oper Schedule
</t>
        </r>
      </text>
    </comment>
    <comment ref="G38" authorId="0" shapeId="0" xr:uid="{00000000-0006-0000-0200-00001D000000}">
      <text>
        <r>
          <rPr>
            <b/>
            <sz val="9"/>
            <color indexed="81"/>
            <rFont val="Tahoma"/>
            <family val="2"/>
          </rPr>
          <t xml:space="preserve">Locked cell
</t>
        </r>
      </text>
    </comment>
    <comment ref="F40" authorId="0" shapeId="0" xr:uid="{00000000-0006-0000-0200-00001E000000}">
      <text>
        <r>
          <rPr>
            <b/>
            <sz val="9"/>
            <color indexed="81"/>
            <rFont val="Tahoma"/>
            <family val="2"/>
          </rPr>
          <t xml:space="preserve">From Oper Schedule
</t>
        </r>
      </text>
    </comment>
    <comment ref="F41" authorId="0" shapeId="0" xr:uid="{00000000-0006-0000-0200-00001F000000}">
      <text>
        <r>
          <rPr>
            <b/>
            <sz val="9"/>
            <color indexed="81"/>
            <rFont val="Tahoma"/>
            <family val="2"/>
          </rPr>
          <t xml:space="preserve">From Oper Schedule
</t>
        </r>
      </text>
    </comment>
    <comment ref="F42" authorId="0" shapeId="0" xr:uid="{00000000-0006-0000-0200-000020000000}">
      <text>
        <r>
          <rPr>
            <b/>
            <sz val="9"/>
            <color indexed="81"/>
            <rFont val="Tahoma"/>
            <family val="2"/>
          </rPr>
          <t xml:space="preserve">Locked cell
</t>
        </r>
      </text>
    </comment>
    <comment ref="G42" authorId="0" shapeId="0" xr:uid="{00000000-0006-0000-0200-000021000000}">
      <text>
        <r>
          <rPr>
            <b/>
            <sz val="9"/>
            <color indexed="81"/>
            <rFont val="Tahoma"/>
            <family val="2"/>
          </rPr>
          <t>Locked cell; Total Bins=Gross Yield / 800 lbs per bin</t>
        </r>
      </text>
    </comment>
    <comment ref="F43" authorId="0" shapeId="0" xr:uid="{00000000-0006-0000-0200-000022000000}">
      <text>
        <r>
          <rPr>
            <b/>
            <sz val="9"/>
            <color indexed="81"/>
            <rFont val="Tahoma"/>
            <family val="2"/>
          </rPr>
          <t xml:space="preserve">From Oper Schedule
</t>
        </r>
      </text>
    </comment>
    <comment ref="F45" authorId="0" shapeId="0" xr:uid="{00000000-0006-0000-0200-000023000000}">
      <text>
        <r>
          <rPr>
            <b/>
            <sz val="9"/>
            <color indexed="81"/>
            <rFont val="Tahoma"/>
            <family val="2"/>
          </rPr>
          <t xml:space="preserve">From Oper Schedule
</t>
        </r>
      </text>
    </comment>
    <comment ref="F46" authorId="0" shapeId="0" xr:uid="{00000000-0006-0000-0200-000024000000}">
      <text>
        <r>
          <rPr>
            <b/>
            <sz val="9"/>
            <color indexed="81"/>
            <rFont val="Tahoma"/>
            <family val="2"/>
          </rPr>
          <t xml:space="preserve">From Oper Schedule
</t>
        </r>
      </text>
    </comment>
    <comment ref="F47" authorId="0" shapeId="0" xr:uid="{00000000-0006-0000-0200-000025000000}">
      <text>
        <r>
          <rPr>
            <b/>
            <sz val="9"/>
            <color indexed="81"/>
            <rFont val="Tahoma"/>
            <family val="2"/>
          </rPr>
          <t xml:space="preserve">From Oper Schedule
</t>
        </r>
      </text>
    </comment>
    <comment ref="G47" authorId="0" shapeId="0" xr:uid="{00000000-0006-0000-0200-000026000000}">
      <text>
        <r>
          <rPr>
            <b/>
            <sz val="9"/>
            <color indexed="81"/>
            <rFont val="Tahoma"/>
            <family val="2"/>
          </rPr>
          <t>Locked cell; Total Bins=Gross Yield / 800 lbs per bin</t>
        </r>
      </text>
    </comment>
    <comment ref="F48" authorId="0" shapeId="0" xr:uid="{00000000-0006-0000-0200-000027000000}">
      <text>
        <r>
          <rPr>
            <b/>
            <sz val="9"/>
            <color indexed="81"/>
            <rFont val="Tahoma"/>
            <family val="2"/>
          </rPr>
          <t xml:space="preserve">From Oper Schedule
</t>
        </r>
      </text>
    </comment>
    <comment ref="G49" authorId="0" shapeId="0" xr:uid="{00000000-0006-0000-0200-000028000000}">
      <text>
        <r>
          <rPr>
            <b/>
            <sz val="9"/>
            <color indexed="81"/>
            <rFont val="Tahoma"/>
            <family val="2"/>
          </rPr>
          <t xml:space="preserve">Locked cell
</t>
        </r>
      </text>
    </comment>
    <comment ref="F50" authorId="0" shapeId="0" xr:uid="{00000000-0006-0000-0200-000029000000}">
      <text>
        <r>
          <rPr>
            <b/>
            <sz val="9"/>
            <color indexed="81"/>
            <rFont val="Tahoma"/>
            <family val="2"/>
          </rPr>
          <t xml:space="preserve">From Oper Schedule
</t>
        </r>
      </text>
    </comment>
    <comment ref="F51" authorId="0" shapeId="0" xr:uid="{00000000-0006-0000-0200-00002A000000}">
      <text>
        <r>
          <rPr>
            <b/>
            <sz val="9"/>
            <color indexed="81"/>
            <rFont val="Tahoma"/>
            <family val="2"/>
          </rPr>
          <t xml:space="preserve">From Oper Schedule
</t>
        </r>
      </text>
    </comment>
    <comment ref="F52" authorId="0" shapeId="0" xr:uid="{00000000-0006-0000-0200-00002B000000}">
      <text>
        <r>
          <rPr>
            <b/>
            <sz val="9"/>
            <color indexed="81"/>
            <rFont val="Tahoma"/>
            <family val="2"/>
          </rPr>
          <t xml:space="preserve">From Oper Schedule
</t>
        </r>
      </text>
    </comment>
    <comment ref="G52" authorId="0" shapeId="0" xr:uid="{00000000-0006-0000-0200-00002C000000}">
      <text>
        <r>
          <rPr>
            <b/>
            <sz val="9"/>
            <color indexed="81"/>
            <rFont val="Tahoma"/>
            <family val="2"/>
          </rPr>
          <t>Locked cell; Total Bins=Gross Yield / 800 lbs per bin</t>
        </r>
      </text>
    </comment>
    <comment ref="F53" authorId="0" shapeId="0" xr:uid="{00000000-0006-0000-0200-00002D000000}">
      <text>
        <r>
          <rPr>
            <b/>
            <sz val="9"/>
            <color indexed="81"/>
            <rFont val="Tahoma"/>
            <family val="2"/>
          </rPr>
          <t xml:space="preserve">From Oper Schedule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Teasdale, Carolyn AGRI:EX</author>
  </authors>
  <commentList>
    <comment ref="A6" authorId="0" shapeId="0" xr:uid="{00000000-0006-0000-0700-000001000000}">
      <text>
        <r>
          <rPr>
            <b/>
            <sz val="9"/>
            <color indexed="81"/>
            <rFont val="Tahoma"/>
            <family val="2"/>
          </rPr>
          <t xml:space="preserve">Foliar
</t>
        </r>
      </text>
    </comment>
    <comment ref="M6" authorId="0" shapeId="0" xr:uid="{00000000-0006-0000-0700-000002000000}">
      <text>
        <r>
          <rPr>
            <b/>
            <sz val="9"/>
            <color indexed="81"/>
            <rFont val="Tahoma"/>
            <family val="2"/>
          </rPr>
          <t xml:space="preserve">Foliar
</t>
        </r>
      </text>
    </comment>
    <comment ref="A7" authorId="0" shapeId="0" xr:uid="{00000000-0006-0000-0700-000003000000}">
      <text>
        <r>
          <rPr>
            <b/>
            <sz val="9"/>
            <color indexed="81"/>
            <rFont val="Tahoma"/>
            <family val="2"/>
          </rPr>
          <t>fertigation</t>
        </r>
      </text>
    </comment>
    <comment ref="M7" authorId="0" shapeId="0" xr:uid="{00000000-0006-0000-0700-000004000000}">
      <text>
        <r>
          <rPr>
            <b/>
            <sz val="9"/>
            <color indexed="81"/>
            <rFont val="Tahoma"/>
            <family val="2"/>
          </rPr>
          <t>fertigation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George Geldart</author>
  </authors>
  <commentList>
    <comment ref="I2" authorId="0" shapeId="0" xr:uid="{00000000-0006-0000-0900-000001000000}">
      <text>
        <r>
          <rPr>
            <b/>
            <sz val="9"/>
            <color indexed="81"/>
            <rFont val="Tahoma"/>
            <family val="2"/>
          </rPr>
          <t>$14/ Hr 
before additional living and other payrollexpenses</t>
        </r>
      </text>
    </comment>
    <comment ref="K2" authorId="0" shapeId="0" xr:uid="{00000000-0006-0000-0900-000002000000}">
      <text>
        <r>
          <rPr>
            <b/>
            <sz val="9"/>
            <color indexed="81"/>
            <rFont val="Tahoma"/>
            <family val="2"/>
          </rPr>
          <t>$14/ Hr 
before additional living and other payrollexpenses</t>
        </r>
      </text>
    </comment>
    <comment ref="M2" authorId="0" shapeId="0" xr:uid="{00000000-0006-0000-0900-000003000000}">
      <text>
        <r>
          <rPr>
            <b/>
            <sz val="9"/>
            <color indexed="81"/>
            <rFont val="Tahoma"/>
            <family val="2"/>
          </rPr>
          <t>$17/Hr
before additional living and other payrollexpenses</t>
        </r>
      </text>
    </comment>
    <comment ref="B14" authorId="0" shapeId="0" xr:uid="{00000000-0006-0000-0900-000004000000}">
      <text>
        <r>
          <rPr>
            <b/>
            <sz val="9"/>
            <color indexed="81"/>
            <rFont val="Tahoma"/>
            <family val="2"/>
          </rPr>
          <t>Bin Weight 800 lbs
43.6 bins /acre
Contract rate 23.33 per bin</t>
        </r>
        <r>
          <rPr>
            <sz val="9"/>
            <color indexed="81"/>
            <rFont val="Tahoma"/>
            <family val="2"/>
          </rPr>
          <t xml:space="preserve">
</t>
        </r>
        <r>
          <rPr>
            <b/>
            <sz val="9"/>
            <color indexed="81"/>
            <rFont val="Tahoma"/>
            <family val="2"/>
          </rPr>
          <t>7.8% Payroll taxes</t>
        </r>
      </text>
    </comment>
    <comment ref="H20" authorId="0" shapeId="0" xr:uid="{00000000-0006-0000-0900-000005000000}">
      <text>
        <r>
          <rPr>
            <b/>
            <sz val="9"/>
            <color indexed="81"/>
            <rFont val="Tahoma"/>
            <family val="2"/>
          </rPr>
          <t>3</t>
        </r>
        <r>
          <rPr>
            <b/>
            <strike/>
            <sz val="9"/>
            <color indexed="81"/>
            <rFont val="Tahoma"/>
            <family val="2"/>
          </rPr>
          <t>%</t>
        </r>
      </text>
    </comment>
    <comment ref="AM39" authorId="1" shapeId="0" xr:uid="{00000000-0006-0000-0900-000006000000}">
      <text>
        <r>
          <rPr>
            <b/>
            <sz val="9"/>
            <color indexed="81"/>
            <rFont val="Tahoma"/>
            <family val="2"/>
          </rPr>
          <t>George Geldart:</t>
        </r>
        <r>
          <rPr>
            <sz val="9"/>
            <color indexed="81"/>
            <rFont val="Tahoma"/>
            <family val="2"/>
          </rPr>
          <t xml:space="preserve">
For 10 Acres</t>
        </r>
      </text>
    </comment>
    <comment ref="C65" authorId="0" shapeId="0" xr:uid="{00000000-0006-0000-0900-000007000000}">
      <text>
        <r>
          <rPr>
            <b/>
            <sz val="9"/>
            <color indexed="81"/>
            <rFont val="Tahoma"/>
            <family val="2"/>
          </rPr>
          <t>Spray @ 0.50 hr/ac
3x copper&amp;Bravo
2x Mummy Berry
1x Span Worm
3x Fruit/Ripe Rot
1x Weev</t>
        </r>
      </text>
    </comment>
    <comment ref="C67" authorId="0" shapeId="0" xr:uid="{00000000-0006-0000-0900-000008000000}">
      <text>
        <r>
          <rPr>
            <b/>
            <sz val="9"/>
            <color indexed="81"/>
            <rFont val="Tahoma"/>
            <family val="2"/>
          </rPr>
          <t xml:space="preserve">1.5 hives/acre @$100/ hive, $150 /acre
3 hives Yr 7 - 10
</t>
        </r>
      </text>
    </comment>
    <comment ref="C71" authorId="0" shapeId="0" xr:uid="{00000000-0006-0000-0900-000009000000}">
      <text>
        <r>
          <rPr>
            <b/>
            <sz val="9"/>
            <color indexed="81"/>
            <rFont val="Tahoma"/>
            <family val="2"/>
          </rPr>
          <t xml:space="preserve">40 hrs per month on 40 acres 
3 times per week * 12 weeks
</t>
        </r>
      </text>
    </comment>
    <comment ref="C73" authorId="0" shapeId="0" xr:uid="{00000000-0006-0000-0900-00000A000000}">
      <text>
        <r>
          <rPr>
            <b/>
            <sz val="9"/>
            <color indexed="81"/>
            <rFont val="Tahoma"/>
            <family val="2"/>
          </rPr>
          <t xml:space="preserve">3 acres in 8 hours </t>
        </r>
      </text>
    </comment>
    <comment ref="C74" authorId="0" shapeId="0" xr:uid="{00000000-0006-0000-0900-00000B000000}">
      <text>
        <r>
          <rPr>
            <b/>
            <sz val="9"/>
            <color indexed="81"/>
            <rFont val="Tahoma"/>
            <family val="2"/>
          </rPr>
          <t xml:space="preserve">20 hrs for 40 ac every 3 wks
</t>
        </r>
      </text>
    </comment>
    <comment ref="C77" authorId="0" shapeId="0" xr:uid="{00000000-0006-0000-0900-00000C000000}">
      <text>
        <r>
          <rPr>
            <b/>
            <sz val="9"/>
            <color indexed="81"/>
            <rFont val="Tahoma"/>
            <family val="2"/>
          </rPr>
          <t>Contract $15.00 ($10.45/ Hr + $4.55/ Hr for bike 60 daysfor 10 days</t>
        </r>
      </text>
    </comment>
    <comment ref="C78" authorId="0" shapeId="0" xr:uid="{00000000-0006-0000-0900-00000D000000}">
      <text>
        <r>
          <rPr>
            <b/>
            <sz val="9"/>
            <color indexed="81"/>
            <rFont val="Tahoma"/>
            <family val="2"/>
          </rPr>
          <t>$0.70 per lb.
I pick by hand and 2 picks by Machine</t>
        </r>
      </text>
    </comment>
    <comment ref="C79" authorId="0" shapeId="0" xr:uid="{00000000-0006-0000-0900-00000E000000}">
      <text>
        <r>
          <rPr>
            <b/>
            <sz val="9"/>
            <color indexed="81"/>
            <rFont val="Tahoma"/>
            <family val="2"/>
          </rPr>
          <t>2 supervisors @ $14.00/hr/12 hrs per day/2 months/60 days??</t>
        </r>
      </text>
    </comment>
    <comment ref="C81" authorId="0" shapeId="0" xr:uid="{00000000-0006-0000-0900-00000F000000}">
      <text>
        <r>
          <rPr>
            <b/>
            <sz val="9"/>
            <color indexed="81"/>
            <rFont val="Tahoma"/>
            <family val="2"/>
          </rPr>
          <t>2 supervisors @ $14.00/hr/12 hrs per day/2 months/60 days??</t>
        </r>
      </text>
    </comment>
    <comment ref="C82" authorId="0" shapeId="0" xr:uid="{00000000-0006-0000-0900-000010000000}">
      <text>
        <r>
          <rPr>
            <b/>
            <sz val="9"/>
            <color indexed="81"/>
            <rFont val="Tahoma"/>
            <family val="2"/>
          </rPr>
          <t>2 supervisors @ $14.00/hr/12 hrs per day/2 months/60 days??</t>
        </r>
      </text>
    </comment>
    <comment ref="C84" authorId="0" shapeId="0" xr:uid="{00000000-0006-0000-0900-000011000000}">
      <text>
        <r>
          <rPr>
            <b/>
            <sz val="9"/>
            <color indexed="81"/>
            <rFont val="Tahoma"/>
            <family val="2"/>
          </rPr>
          <t>150 pails @ $4/pail for 40 acres</t>
        </r>
        <r>
          <rPr>
            <sz val="9"/>
            <color indexed="81"/>
            <rFont val="Tahoma"/>
            <family val="2"/>
          </rPr>
          <t xml:space="preserve">
</t>
        </r>
      </text>
    </comment>
    <comment ref="C85" authorId="0" shapeId="0" xr:uid="{00000000-0006-0000-0900-000012000000}">
      <text>
        <r>
          <rPr>
            <b/>
            <sz val="9"/>
            <color indexed="81"/>
            <rFont val="Tahoma"/>
            <family val="2"/>
          </rPr>
          <t xml:space="preserve"> Porti pPotties  &amp; Hand Wash(4 Units @ $250 for   2 months)</t>
        </r>
        <r>
          <rPr>
            <sz val="9"/>
            <color indexed="81"/>
            <rFont val="Tahoma"/>
            <family val="2"/>
          </rPr>
          <t xml:space="preserve">
</t>
        </r>
      </text>
    </comment>
    <comment ref="C86" authorId="0" shapeId="0" xr:uid="{00000000-0006-0000-0900-000013000000}">
      <text>
        <r>
          <rPr>
            <b/>
            <sz val="9"/>
            <color indexed="81"/>
            <rFont val="Tahoma"/>
            <family val="2"/>
          </rPr>
          <t>Auditor $1,300</t>
        </r>
      </text>
    </comment>
    <comment ref="C87" authorId="0" shapeId="0" xr:uid="{00000000-0006-0000-0900-000014000000}">
      <text>
        <r>
          <rPr>
            <b/>
            <sz val="9"/>
            <color indexed="81"/>
            <rFont val="Tahoma"/>
            <family val="2"/>
          </rPr>
          <t>Foliar fert, fungicide &amp; clean-upspray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Geldart</author>
  </authors>
  <commentList>
    <comment ref="L9" authorId="0" shapeId="0" xr:uid="{00000000-0006-0000-0A00-000001000000}">
      <text>
        <r>
          <rPr>
            <b/>
            <sz val="9"/>
            <color indexed="81"/>
            <rFont val="Tahoma"/>
            <family val="2"/>
          </rPr>
          <t>George Geldart:</t>
        </r>
        <r>
          <rPr>
            <sz val="9"/>
            <color indexed="81"/>
            <rFont val="Tahoma"/>
            <family val="2"/>
          </rPr>
          <t xml:space="preserve">
For 10 Acres</t>
        </r>
      </text>
    </comment>
    <comment ref="Q31" authorId="0" shapeId="0" xr:uid="{00000000-0006-0000-0A00-000002000000}">
      <text>
        <r>
          <rPr>
            <b/>
            <sz val="9"/>
            <color indexed="81"/>
            <rFont val="Tahoma"/>
            <family val="2"/>
          </rPr>
          <t>George Geldart:</t>
        </r>
        <r>
          <rPr>
            <sz val="9"/>
            <color indexed="81"/>
            <rFont val="Tahoma"/>
            <family val="2"/>
          </rPr>
          <t xml:space="preserve">
Sam DiMaria- tractor uses 8 litres/hr consistently with PTO at 540rpm</t>
        </r>
      </text>
    </comment>
    <comment ref="Q32" authorId="0" shapeId="0" xr:uid="{00000000-0006-0000-0A00-000003000000}">
      <text>
        <r>
          <rPr>
            <b/>
            <sz val="9"/>
            <color indexed="81"/>
            <rFont val="Tahoma"/>
            <family val="2"/>
          </rPr>
          <t>George Geldart:</t>
        </r>
        <r>
          <rPr>
            <sz val="9"/>
            <color indexed="81"/>
            <rFont val="Tahoma"/>
            <family val="2"/>
          </rPr>
          <t xml:space="preserve">
Adjusted L/hp upwards from Sam's estimate to reflect higher fuel consumption</t>
        </r>
      </text>
    </comment>
    <comment ref="Q33" authorId="0" shapeId="0" xr:uid="{00000000-0006-0000-0A00-000004000000}">
      <text>
        <r>
          <rPr>
            <b/>
            <sz val="9"/>
            <color indexed="81"/>
            <rFont val="Tahoma"/>
            <family val="2"/>
          </rPr>
          <t>George Geldart:</t>
        </r>
        <r>
          <rPr>
            <sz val="9"/>
            <color indexed="81"/>
            <rFont val="Tahoma"/>
            <family val="2"/>
          </rPr>
          <t xml:space="preserve">
see OMAFRA- http://www.omafra.gov.on.ca/english/busdev/facts/01-075.htm#Table4 </t>
        </r>
      </text>
    </comment>
  </commentList>
</comments>
</file>

<file path=xl/sharedStrings.xml><?xml version="1.0" encoding="utf-8"?>
<sst xmlns="http://schemas.openxmlformats.org/spreadsheetml/2006/main" count="813" uniqueCount="422">
  <si>
    <t>Description</t>
  </si>
  <si>
    <t>Unit</t>
  </si>
  <si>
    <t>Blend</t>
  </si>
  <si>
    <t>Qty</t>
  </si>
  <si>
    <t>L</t>
  </si>
  <si>
    <t>$/Acre</t>
  </si>
  <si>
    <t>Price $/ Unit</t>
  </si>
  <si>
    <t>Column1</t>
  </si>
  <si>
    <t>Column2</t>
  </si>
  <si>
    <t>Name</t>
  </si>
  <si>
    <t>Rate</t>
  </si>
  <si>
    <t>Unit3</t>
  </si>
  <si>
    <t>Price / Qty (Col C)</t>
  </si>
  <si>
    <t>Price $/ Unit (Col D)</t>
  </si>
  <si>
    <t>100% Rate/Ac</t>
  </si>
  <si>
    <t>Full    Rate</t>
  </si>
  <si>
    <t>$/Unit</t>
  </si>
  <si>
    <t>$/Unit3</t>
  </si>
  <si>
    <t>Operation Schedule:</t>
  </si>
  <si>
    <t>Times</t>
  </si>
  <si>
    <t>Total</t>
  </si>
  <si>
    <t>Labour Rate</t>
  </si>
  <si>
    <t>Insecticide</t>
  </si>
  <si>
    <t>Fungicide</t>
  </si>
  <si>
    <t>Herbicide</t>
  </si>
  <si>
    <t>Type</t>
  </si>
  <si>
    <t>kg</t>
  </si>
  <si>
    <t>Mach # 1</t>
  </si>
  <si>
    <t>Hr/ac</t>
  </si>
  <si>
    <t>***</t>
  </si>
  <si>
    <t>*</t>
  </si>
  <si>
    <t>**</t>
  </si>
  <si>
    <t>0.15 * fuel costs (1999 Standards:  American Society of Agriculture Engineers)</t>
  </si>
  <si>
    <t>Group 2 (1999 Standards:  American Society of Agriculture Engineers)</t>
  </si>
  <si>
    <t>****</t>
  </si>
  <si>
    <t>.2 % of List price (1999 Standards:  American Society of Agriculture Engineers)</t>
  </si>
  <si>
    <t>Investment Cost (%) @</t>
  </si>
  <si>
    <t>Column3</t>
  </si>
  <si>
    <t>Mach # 2</t>
  </si>
  <si>
    <t>Projected Income</t>
  </si>
  <si>
    <t>Lot            Size</t>
  </si>
  <si>
    <t>Total Direct Expenses</t>
  </si>
  <si>
    <t>Contribution Margin</t>
  </si>
  <si>
    <t>Active ingredient</t>
  </si>
  <si>
    <t>Production Labour</t>
  </si>
  <si>
    <t>$/Hr</t>
  </si>
  <si>
    <t>0.044 US Gal./ Hr/Hp (1999 Standards:  American Society of Agriculture Engineers)</t>
  </si>
  <si>
    <t>http://www.omafra.gov.on.ca/english/busdev/facts/01-075.htm</t>
  </si>
  <si>
    <t>http://www.cigr.org/documents/CIGRHandbookVol3.pdf</t>
  </si>
  <si>
    <t>20-20-20</t>
  </si>
  <si>
    <t>Times Sprayed</t>
  </si>
  <si>
    <t>$/Unit4</t>
  </si>
  <si>
    <t xml:space="preserve">Alloca                tion </t>
  </si>
  <si>
    <t>Full Production</t>
  </si>
  <si>
    <t>$/Applic</t>
  </si>
  <si>
    <t>Total/acre</t>
  </si>
  <si>
    <t>Fertilizer Spreader</t>
  </si>
  <si>
    <t xml:space="preserve">Labour             ($/Ac) </t>
  </si>
  <si>
    <t>Equip       Oper       Total     ($/Ac)</t>
  </si>
  <si>
    <t>Col L*G</t>
  </si>
  <si>
    <t>Col O*G</t>
  </si>
  <si>
    <t>Col Q*G</t>
  </si>
  <si>
    <t>Col S*G</t>
  </si>
  <si>
    <t>Oper &amp; Rep</t>
  </si>
  <si>
    <t>Dep &amp; Inv</t>
  </si>
  <si>
    <t>Labour Equip Rec</t>
  </si>
  <si>
    <t>Labour General Rec</t>
  </si>
  <si>
    <t>Equip       Depr&amp; Inv       Total     ($/Ac)</t>
  </si>
  <si>
    <t>Col I*G</t>
  </si>
  <si>
    <t xml:space="preserve"> Labour General Oper               (Hrs/Ac)    Total</t>
  </si>
  <si>
    <t>Ramik Brown</t>
  </si>
  <si>
    <t>Roundup</t>
  </si>
  <si>
    <t>litres</t>
  </si>
  <si>
    <t>Prowl</t>
  </si>
  <si>
    <t>Alion</t>
  </si>
  <si>
    <t>Zinc Sulphate</t>
  </si>
  <si>
    <t>Zintrac</t>
  </si>
  <si>
    <t>Magnesium Sulphate</t>
  </si>
  <si>
    <t>Urea</t>
  </si>
  <si>
    <t>Boron (Solubor)</t>
  </si>
  <si>
    <t>lb.</t>
  </si>
  <si>
    <t>Calcium Chloride</t>
  </si>
  <si>
    <t>Dormant Oil</t>
  </si>
  <si>
    <t>Admire</t>
  </si>
  <si>
    <t>Dipel</t>
  </si>
  <si>
    <t>Altacor</t>
  </si>
  <si>
    <t>Delegate</t>
  </si>
  <si>
    <t>Fixed Copper</t>
  </si>
  <si>
    <t>Dithane</t>
  </si>
  <si>
    <t>Nova</t>
  </si>
  <si>
    <t>Flint</t>
  </si>
  <si>
    <t>ATS</t>
  </si>
  <si>
    <t>Sevin</t>
  </si>
  <si>
    <t>Maxcel</t>
  </si>
  <si>
    <t>Apogee</t>
  </si>
  <si>
    <t>34-0-0 + 11S</t>
  </si>
  <si>
    <t>11-52-0</t>
  </si>
  <si>
    <t>Applic</t>
  </si>
  <si>
    <t>Chem Rates &amp; Prices Ambrosia Apples</t>
  </si>
  <si>
    <t>MACHINERY BUILDINGS &amp; EQUIPMENT INVESTMENT</t>
  </si>
  <si>
    <t xml:space="preserve"> MACHINE LIST:</t>
  </si>
  <si>
    <t xml:space="preserve"> NEW</t>
  </si>
  <si>
    <t>YEARS</t>
  </si>
  <si>
    <t>SALVAGE</t>
  </si>
  <si>
    <t>HOURS</t>
  </si>
  <si>
    <t>REPAIR</t>
  </si>
  <si>
    <t>Tractor4WD</t>
  </si>
  <si>
    <t>Front Forks/3pt.bin loader</t>
  </si>
  <si>
    <t>Power Pruner (Chainsaw onPole)</t>
  </si>
  <si>
    <t>Weed Sprayer 300L</t>
  </si>
  <si>
    <t>Orchard Sprayer 900L</t>
  </si>
  <si>
    <t>Mowing</t>
  </si>
  <si>
    <t>Rotovator 60 Inch</t>
  </si>
  <si>
    <t>Pollination</t>
  </si>
  <si>
    <t>Flail Mower 69 Inch</t>
  </si>
  <si>
    <t>Mechanical Ladder</t>
  </si>
  <si>
    <t>Pick-Up 1/2 Ton Used</t>
  </si>
  <si>
    <t>Irrigation Sytem (Microjet+Fltr)</t>
  </si>
  <si>
    <t>3 pt.Hitch/Post Auger</t>
  </si>
  <si>
    <t>SIR Tax/Pest Monitor/Prod'n Insurance</t>
  </si>
  <si>
    <t>Miscellaneous Expenses</t>
  </si>
  <si>
    <t>Small Tools</t>
  </si>
  <si>
    <t>Ladders</t>
  </si>
  <si>
    <t>Picking Bags (20)</t>
  </si>
  <si>
    <t>Deer Fence (10ac.Perimeter)</t>
  </si>
  <si>
    <t>Machine Shed ( 16 x 32)</t>
  </si>
  <si>
    <t>TOTAL COSTS</t>
  </si>
  <si>
    <t>NOTE: Machinery Prices sourced from Girard's Equip., Penticton (250-498-2524)</t>
  </si>
  <si>
    <t>INVESTMENT TABLE BACKGROUND INFORMATION</t>
  </si>
  <si>
    <t>Machinery Fuel Consumption/ Fuel Cost</t>
  </si>
  <si>
    <t>Est.-8L/hr (540 RPM- PTO)</t>
  </si>
  <si>
    <t>Litres/hr</t>
  </si>
  <si>
    <t>Tractor #1:</t>
  </si>
  <si>
    <t>Horsepower:</t>
  </si>
  <si>
    <t>Litres/hp</t>
  </si>
  <si>
    <t xml:space="preserve">Mechanical Ladder: </t>
  </si>
  <si>
    <t>Fuel Cost:</t>
  </si>
  <si>
    <t>cents/litre</t>
  </si>
  <si>
    <t xml:space="preserve">1/2 Ton Pick-up: </t>
  </si>
  <si>
    <t>Source: American Society of Agricultural Engineers Standards, American Society of Agricultural Engineers, 1999</t>
  </si>
  <si>
    <t>Group: Tractors</t>
  </si>
  <si>
    <t>Group 1: Combines, self-propelled forage harvesters.</t>
  </si>
  <si>
    <t>Group 2: Swathers, mower-conditioners, rotary hay mowers, rotary mower-conditioners.</t>
  </si>
  <si>
    <t>Group 3: Forage harvesters, balers, bale elevators, tub grinders, augers, grinder-mixers, forage boxes, roller mills.</t>
  </si>
  <si>
    <t>Group 4: Planters, drills, sprayers.</t>
  </si>
  <si>
    <t>Group 5: Moldboard plows, chisel plows, cultivators, v-rippers.</t>
  </si>
  <si>
    <t>Group 6: Disks, harrows, hoes.</t>
  </si>
  <si>
    <t>Group 7: Manure spreaders, miscellaneous equipment.</t>
  </si>
  <si>
    <t>Repair Rate as % of $1,000 Purchase Price</t>
  </si>
  <si>
    <t>FUEL      &amp; LUB</t>
  </si>
  <si>
    <t>TOTAL OPER</t>
  </si>
  <si>
    <t>Fuel</t>
  </si>
  <si>
    <t>Lube</t>
  </si>
  <si>
    <t>REPAIR COST/YR</t>
  </si>
  <si>
    <t>Data Validation below @ Row 29 to 40</t>
  </si>
  <si>
    <t>Spray Herbicides</t>
  </si>
  <si>
    <t>Irrigation</t>
  </si>
  <si>
    <t>Hand Spray Rodent Control</t>
  </si>
  <si>
    <t>Fertilize</t>
  </si>
  <si>
    <t>Hand Hoe</t>
  </si>
  <si>
    <t>Estimated Contribution Margin Per Acre at Various Prices and Yields for 'Ambrosia' Apples during Full Production ($/acre)</t>
  </si>
  <si>
    <t>Bin Hauling</t>
  </si>
  <si>
    <t>Bin Yarding</t>
  </si>
  <si>
    <t>Insecticides</t>
  </si>
  <si>
    <t>Thinning/Growth Regulators</t>
  </si>
  <si>
    <t>Fungicides</t>
  </si>
  <si>
    <t>Machinery, Buildings &amp; Equipment Investment</t>
  </si>
  <si>
    <t>10 Acre Orchard</t>
  </si>
  <si>
    <t>New</t>
  </si>
  <si>
    <t>Tractor-4WD</t>
  </si>
  <si>
    <t>Power Pruner (Chainsaw on Pole)</t>
  </si>
  <si>
    <t>Pick-Up 1/2 Ton (Used)</t>
  </si>
  <si>
    <t>Deer Fence (10 Acre Perimeter)</t>
  </si>
  <si>
    <t>Orchard Operation</t>
  </si>
  <si>
    <t>Orchard Management/Labour</t>
  </si>
  <si>
    <t>This orchard has good management practices. Operations are based on the BC Tree Fruit Production Guide and utilize a high level of horticulture skills.</t>
  </si>
  <si>
    <t>Labour costs are based on BC minimum wage requirements, with all operations carried out by hired labour.</t>
  </si>
  <si>
    <t>Budget</t>
  </si>
  <si>
    <r>
      <t>·</t>
    </r>
    <r>
      <rPr>
        <sz val="7"/>
        <color theme="1"/>
        <rFont val="Times New Roman"/>
        <family val="1"/>
      </rPr>
      <t xml:space="preserve">         </t>
    </r>
    <r>
      <rPr>
        <sz val="12"/>
        <color theme="1"/>
        <rFont val="Arial"/>
        <family val="2"/>
      </rPr>
      <t>1 acre of established Ambrosia Apples.</t>
    </r>
  </si>
  <si>
    <r>
      <t>·</t>
    </r>
    <r>
      <rPr>
        <sz val="7"/>
        <color theme="1"/>
        <rFont val="Times New Roman"/>
        <family val="1"/>
      </rPr>
      <t xml:space="preserve">         </t>
    </r>
    <r>
      <rPr>
        <sz val="12"/>
        <color theme="1"/>
        <rFont val="Arial"/>
        <family val="2"/>
      </rPr>
      <t>Production of 35,000 lbs. per acre with a 90% packout (Fancy grades and better) generating returns to the grower of $0.38/lb.</t>
    </r>
  </si>
  <si>
    <r>
      <t>·</t>
    </r>
    <r>
      <rPr>
        <sz val="7"/>
        <color theme="1"/>
        <rFont val="Times New Roman"/>
        <family val="1"/>
      </rPr>
      <t xml:space="preserve">         </t>
    </r>
    <r>
      <rPr>
        <sz val="12"/>
        <color theme="1"/>
        <rFont val="Arial"/>
        <family val="2"/>
      </rPr>
      <t>Input costs for materials were obtained from Growers Supply.</t>
    </r>
  </si>
  <si>
    <r>
      <t>·</t>
    </r>
    <r>
      <rPr>
        <sz val="7"/>
        <color theme="1"/>
        <rFont val="Times New Roman"/>
        <family val="1"/>
      </rPr>
      <t xml:space="preserve">         </t>
    </r>
    <r>
      <rPr>
        <sz val="12"/>
        <color theme="1"/>
        <rFont val="Arial"/>
        <family val="2"/>
      </rPr>
      <t xml:space="preserve">Hired labour cost is $13.85/hour plus payroll taxes of 14.78%. </t>
    </r>
  </si>
  <si>
    <r>
      <t>·</t>
    </r>
    <r>
      <rPr>
        <sz val="7"/>
        <color theme="1"/>
        <rFont val="Times New Roman"/>
        <family val="1"/>
      </rPr>
      <t xml:space="preserve">         </t>
    </r>
    <r>
      <rPr>
        <sz val="12"/>
        <color theme="1"/>
        <rFont val="Arial"/>
        <family val="2"/>
      </rPr>
      <t>Harvesting is paid on a piece rate basis at $21.06/bin with bin yarding at 6 minutes labour/bin and hauling costs of $2.40/bin empty and $5.22/bin full.</t>
    </r>
  </si>
  <si>
    <r>
      <t>·</t>
    </r>
    <r>
      <rPr>
        <sz val="7"/>
        <color theme="1"/>
        <rFont val="Times New Roman"/>
        <family val="1"/>
      </rPr>
      <t xml:space="preserve">         </t>
    </r>
    <r>
      <rPr>
        <sz val="12"/>
        <color theme="1"/>
        <rFont val="Arial"/>
        <family val="2"/>
      </rPr>
      <t>Machinery and equipment replacement costs were obtained from Okanagan machinery dealers.</t>
    </r>
  </si>
  <si>
    <r>
      <t>·</t>
    </r>
    <r>
      <rPr>
        <sz val="7"/>
        <color theme="1"/>
        <rFont val="Times New Roman"/>
        <family val="1"/>
      </rPr>
      <t xml:space="preserve">         </t>
    </r>
    <r>
      <rPr>
        <sz val="12"/>
        <color theme="1"/>
        <rFont val="Arial"/>
        <family val="2"/>
      </rPr>
      <t xml:space="preserve">Total labour hours for pruning and training, thinning and general orchard operations are estimated at 143 hrs/acre based on input from growers, </t>
    </r>
  </si>
  <si>
    <t xml:space="preserve">     industry specialists and packinghouse field services horticulturists.</t>
  </si>
  <si>
    <t>Architecture</t>
  </si>
  <si>
    <t>In-row Spacing</t>
  </si>
  <si>
    <t>Between-row Spacing</t>
  </si>
  <si>
    <t>Rootstock</t>
  </si>
  <si>
    <t>Block Size</t>
  </si>
  <si>
    <t>Life of Planting</t>
  </si>
  <si>
    <t>Tree Density</t>
  </si>
  <si>
    <t>Trellis System</t>
  </si>
  <si>
    <t>Vertical trellis system</t>
  </si>
  <si>
    <t>Ambrosia Block Specifications</t>
  </si>
  <si>
    <t>2 feet</t>
  </si>
  <si>
    <t>10 feet</t>
  </si>
  <si>
    <t>10 acres</t>
  </si>
  <si>
    <t>Super Spindle - 9 foot</t>
  </si>
  <si>
    <t>M 9</t>
  </si>
  <si>
    <t>20 years</t>
  </si>
  <si>
    <t>2,178 trees per acre</t>
  </si>
  <si>
    <r>
      <t>·</t>
    </r>
    <r>
      <rPr>
        <sz val="7"/>
        <color theme="1"/>
        <rFont val="Times New Roman"/>
        <family val="1"/>
      </rPr>
      <t>         the</t>
    </r>
  </si>
  <si>
    <t xml:space="preserve"> The Ambrosia block specifications are as follows.</t>
  </si>
  <si>
    <t>Thinning</t>
  </si>
  <si>
    <t>Hand Thinning</t>
  </si>
  <si>
    <t>Pruning &amp; Training</t>
  </si>
  <si>
    <t xml:space="preserve">Other Capital Investments </t>
  </si>
  <si>
    <t>Irrigation Sytem (Microjet+Filter)</t>
  </si>
  <si>
    <t>Irrigation System</t>
  </si>
  <si>
    <t xml:space="preserve">Micro-Jet </t>
  </si>
  <si>
    <t>Update Data Input Sheet</t>
  </si>
  <si>
    <t>Your Farm</t>
  </si>
  <si>
    <t>Farm Size</t>
  </si>
  <si>
    <t>Acres</t>
  </si>
  <si>
    <t>Lot/ Size</t>
  </si>
  <si>
    <t>Acre</t>
  </si>
  <si>
    <t>Net Price</t>
  </si>
  <si>
    <t>Fertilizer&amp; Nutrients</t>
  </si>
  <si>
    <t>Pesticides &amp; Herbicides</t>
  </si>
  <si>
    <t>Hr.</t>
  </si>
  <si>
    <t>2019 Ambrosia Budget</t>
  </si>
  <si>
    <t>Density - Trees/Acre</t>
  </si>
  <si>
    <t>Gross Yield</t>
  </si>
  <si>
    <t>Pack out</t>
  </si>
  <si>
    <t>Net Yield</t>
  </si>
  <si>
    <t>Fancy Grade or Better</t>
  </si>
  <si>
    <t>Apples Fancy Grade or Better</t>
  </si>
  <si>
    <t>Packout</t>
  </si>
  <si>
    <t>Price</t>
  </si>
  <si>
    <t>Herbicides</t>
  </si>
  <si>
    <t>Rodent Control</t>
  </si>
  <si>
    <t>Thinning &amp; Growth Regulators</t>
  </si>
  <si>
    <t>Liquid</t>
  </si>
  <si>
    <t>Granular</t>
  </si>
  <si>
    <t>Micro-Nutrients</t>
  </si>
  <si>
    <t>Granular Fertilizer</t>
  </si>
  <si>
    <t>Liquid Fertilizer</t>
  </si>
  <si>
    <t>Micro-Nutients</t>
  </si>
  <si>
    <t xml:space="preserve"> Labour Pruning &amp; Training               ($/hr)</t>
  </si>
  <si>
    <t xml:space="preserve"> Labour Pruning &amp; Training               (Hrs/Ac)    Total</t>
  </si>
  <si>
    <t xml:space="preserve"> Labour Hand Thinning   ($/hr)</t>
  </si>
  <si>
    <t xml:space="preserve"> Labour Hand Thinning  (Hrs/Ac)  Total</t>
  </si>
  <si>
    <t xml:space="preserve"> Hrvst Labour ($/Bin)</t>
  </si>
  <si>
    <t>Total Granular Fertilizer</t>
  </si>
  <si>
    <t>Ttl Hrs/Ac</t>
  </si>
  <si>
    <t>Ttl $'s/Ac</t>
  </si>
  <si>
    <t>Hand Hoeing</t>
  </si>
  <si>
    <t xml:space="preserve">Total Hand Hoeing </t>
  </si>
  <si>
    <t>Total Hand Thinning</t>
  </si>
  <si>
    <t>Thin Hrs/Ac</t>
  </si>
  <si>
    <t>Bins</t>
  </si>
  <si>
    <t xml:space="preserve">   Bins Hvst (Bins/Ac)  Total</t>
  </si>
  <si>
    <t>Ttl Bins</t>
  </si>
  <si>
    <t>Total Bin Yarding</t>
  </si>
  <si>
    <t>Hrs/Oper</t>
  </si>
  <si>
    <t>Total Hrs</t>
  </si>
  <si>
    <t>Bin Yarding   Minute/Bin</t>
  </si>
  <si>
    <t>Hvst Contract $/Bin</t>
  </si>
  <si>
    <t>Hoeing Hrs/Ac</t>
  </si>
  <si>
    <t xml:space="preserve"> Hand Hoeing ($/hr)</t>
  </si>
  <si>
    <t xml:space="preserve"> Hand Hoeing              (Hrs/Ac)    Total</t>
  </si>
  <si>
    <t>Micro-Nutr</t>
  </si>
  <si>
    <t>Rodent</t>
  </si>
  <si>
    <t>Growth Reg</t>
  </si>
  <si>
    <t>Harvesting</t>
  </si>
  <si>
    <t>Contact Picking</t>
  </si>
  <si>
    <t xml:space="preserve"> 1 ACRE FULL PRODUCTION</t>
  </si>
  <si>
    <t>Direct Expenses</t>
  </si>
  <si>
    <t xml:space="preserve"> Labour General Equipment Operating ($/hr)</t>
  </si>
  <si>
    <t xml:space="preserve"> Labour Bin yarding ($/hr)</t>
  </si>
  <si>
    <t xml:space="preserve"> Labour Bin Yarding     (Hrs/Ac)   Total</t>
  </si>
  <si>
    <t>Other Expenses, Materials, Custom Work    ($/Ac)</t>
  </si>
  <si>
    <t>Density /Acre</t>
  </si>
  <si>
    <t>Harvesting (Contract Picking)</t>
  </si>
  <si>
    <t>Hired Labour Hourly Rate</t>
  </si>
  <si>
    <t>Minutes /Tree</t>
  </si>
  <si>
    <t>Bin Hauling Empty</t>
  </si>
  <si>
    <t>Bin Hauling Full</t>
  </si>
  <si>
    <t>Equipment Operating &amp; Repair</t>
  </si>
  <si>
    <t>Other Expenses</t>
  </si>
  <si>
    <t>Polination/Hive Rental</t>
  </si>
  <si>
    <t>Minutes</t>
  </si>
  <si>
    <t>Hrs.</t>
  </si>
  <si>
    <t xml:space="preserve">Hand Hoeing </t>
  </si>
  <si>
    <t>Tree</t>
  </si>
  <si>
    <t xml:space="preserve">Pruning &amp; Training </t>
  </si>
  <si>
    <t>Total Hand Harvesting</t>
  </si>
  <si>
    <t>Bin</t>
  </si>
  <si>
    <t>Contract Price $/Bin</t>
  </si>
  <si>
    <t>Calculation Total Hand Hoeing</t>
  </si>
  <si>
    <t>Calculation Total Hand Harvesting</t>
  </si>
  <si>
    <t>Calculation Bin Hauling</t>
  </si>
  <si>
    <t>Bin Hauling Total Cost</t>
  </si>
  <si>
    <t>Bin Yarding Labour</t>
  </si>
  <si>
    <t xml:space="preserve">Minutes </t>
  </si>
  <si>
    <t>$/ Bin</t>
  </si>
  <si>
    <t>Calculation Bin Yarding</t>
  </si>
  <si>
    <t>Field Equip Oper Labour</t>
  </si>
  <si>
    <t>Calculation Total Field Equip Oper Labour</t>
  </si>
  <si>
    <t>Field Equip Operating Labour</t>
  </si>
  <si>
    <t>Total Equipment Oper &amp; Repair</t>
  </si>
  <si>
    <t>Password: Apple</t>
  </si>
  <si>
    <t>TOTAL</t>
  </si>
  <si>
    <t>Bin Hauling (Contracted)</t>
  </si>
  <si>
    <t>Picking Bags</t>
  </si>
  <si>
    <t>AMBROSIA</t>
  </si>
  <si>
    <t>Variety</t>
  </si>
  <si>
    <t>Yield / Tree</t>
  </si>
  <si>
    <t>Item</t>
  </si>
  <si>
    <t>OKANAGAN VALLEY OF BRITISH COLUMBIA</t>
  </si>
  <si>
    <t>Hours</t>
  </si>
  <si>
    <t>Min /Tree</t>
  </si>
  <si>
    <t>Hrs/Acre</t>
  </si>
  <si>
    <t>Calculation Total Pruning &amp; Training</t>
  </si>
  <si>
    <t>Calculation Total Hand Thinning</t>
  </si>
  <si>
    <t>Spraying not Herbicides</t>
  </si>
  <si>
    <t>Fuel Cost</t>
  </si>
  <si>
    <t>$/L</t>
  </si>
  <si>
    <t>Hand Harvesting</t>
  </si>
  <si>
    <t>Total Pruning &amp; Training</t>
  </si>
  <si>
    <t>Hourly Rate</t>
  </si>
  <si>
    <t xml:space="preserve">Total Equip Oper Labour </t>
  </si>
  <si>
    <t>Total Per Acre</t>
  </si>
  <si>
    <t>Hours Per Acre</t>
  </si>
  <si>
    <t>Bin Yarding $/Hr</t>
  </si>
  <si>
    <t>Total/Ac.</t>
  </si>
  <si>
    <t>BUDGET</t>
  </si>
  <si>
    <t xml:space="preserve">Notes: </t>
  </si>
  <si>
    <t xml:space="preserve">Shaded area denotes a positive profit based on the  </t>
  </si>
  <si>
    <t xml:space="preserve">  combination of yield and price.</t>
  </si>
  <si>
    <t xml:space="preserve">  direct expenses to cover overhead costs (interest, </t>
  </si>
  <si>
    <t>YOUR FARM</t>
  </si>
  <si>
    <t>Product</t>
  </si>
  <si>
    <t>FERTILIZER &amp; NUTRIENTS</t>
  </si>
  <si>
    <t>Value</t>
  </si>
  <si>
    <t>Additional financial planning information and farm enterprise budgets can be found online or from a local B.C. Ministry of Agriculture office.</t>
  </si>
  <si>
    <t>Their production practices and input requirements form the baseline assumptions that were used to develop the enterprise budget.</t>
  </si>
  <si>
    <t>Budget Assumptions</t>
  </si>
  <si>
    <t>AMBROSIA APPLES</t>
  </si>
  <si>
    <t xml:space="preserve">Qty       (lbs.) </t>
  </si>
  <si>
    <t>Price      ($/lb.)</t>
  </si>
  <si>
    <t>$</t>
  </si>
  <si>
    <t>Yield</t>
  </si>
  <si>
    <t>Bin  Weight</t>
  </si>
  <si>
    <t>Total Bins</t>
  </si>
  <si>
    <r>
      <t>Study</t>
    </r>
    <r>
      <rPr>
        <b/>
        <sz val="14"/>
        <color theme="1"/>
        <rFont val="Arial"/>
        <family val="2"/>
      </rPr>
      <t xml:space="preserve"> Objectives</t>
    </r>
  </si>
  <si>
    <t xml:space="preserve">The objective of the Planning for Profit Budget series is to provide information to assist producers in projecting direct costs and returns for British Columbia farm enterprises. </t>
  </si>
  <si>
    <t xml:space="preserve">This information is provided as one piece of the overall financial planning process to assist with decision making, monitoring and reviewing the whole farm business. </t>
  </si>
  <si>
    <t>This budget is based on prevailing costs and prices at time of publication, and will be different for each farm. It is intended to enable growers to estimate:</t>
  </si>
  <si>
    <r>
      <t>Other individuals involved in the preparation of this study include government extension staff and industry professionals.</t>
    </r>
    <r>
      <rPr>
        <b/>
        <sz val="12"/>
        <color theme="1"/>
        <rFont val="Arial"/>
        <family val="2"/>
      </rPr>
      <t xml:space="preserve"> </t>
    </r>
  </si>
  <si>
    <t>This publication does not necessarily represent any particular operation and is not intended to be a definitive guide to production practices.</t>
  </si>
  <si>
    <t xml:space="preserve">However, producers will need to develop their own budget that will include these costs to assess the overall financial profitability of this crop on their farming operation. </t>
  </si>
  <si>
    <t>will not be liable for any claims, damages, or losses of any kind whatsoever arising out of the use of, or reliance upon, this information.</t>
  </si>
  <si>
    <t>(2) the ranges of prices and yields at which Ambrosia apples would provide a positive contribution to indirect and overhead costs.</t>
  </si>
  <si>
    <t>Instructions for Using this Excel Workbook</t>
  </si>
  <si>
    <t xml:space="preserve">Budget </t>
  </si>
  <si>
    <t>Fresh Market</t>
  </si>
  <si>
    <t>Operation</t>
  </si>
  <si>
    <t>HP</t>
  </si>
  <si>
    <t>Equipment</t>
  </si>
  <si>
    <t>Total Machinery</t>
  </si>
  <si>
    <t>Other Capital</t>
  </si>
  <si>
    <t xml:space="preserve">This sample budget is based on a 12-acre orchard operation located in the Okanagan Valley. The orchard has 10 acres planted, mainly to apples along with some cherries and peaches. The machinery, buildings and equipment investment is reflective of this size of orchard. </t>
  </si>
  <si>
    <t xml:space="preserve">This information is only a guide and is not intended as an in-depth study of the cost of production for this industry.  </t>
  </si>
  <si>
    <t>However, it describes current industry trends and, as such, can be helpful in estimating the physical and financial requirements of comparable orchards.</t>
  </si>
  <si>
    <t xml:space="preserve">  investment, depreciation &amp; indirect costs).</t>
  </si>
  <si>
    <t>Price ($/lb)b</t>
  </si>
  <si>
    <t>Contribution Margin is what the grower receives after</t>
  </si>
  <si>
    <t>a. Represents the average yield at full production.</t>
  </si>
  <si>
    <t>b. Price represents weighted gross return.</t>
  </si>
  <si>
    <t xml:space="preserve">Disclaimer: The Governments of Canada and British Columbia, and their directors, agents, employees, or contractors </t>
  </si>
  <si>
    <t>Given that many factors affect production costs and returns, individual growers can use this Excel Workbook to estimate their own costs and returns.</t>
  </si>
  <si>
    <r>
      <t>·</t>
    </r>
    <r>
      <rPr>
        <sz val="7"/>
        <color theme="1"/>
        <rFont val="Times New Roman"/>
        <family val="1"/>
      </rPr>
      <t xml:space="preserve">         </t>
    </r>
    <r>
      <rPr>
        <sz val="12"/>
        <color theme="1"/>
        <rFont val="Arial"/>
        <family val="2"/>
      </rPr>
      <t xml:space="preserve">Machinery operating and repair and maintenance costs are based on standard costing estimates and the time per acre required for various operations over the production year. </t>
    </r>
  </si>
  <si>
    <t xml:space="preserve">Individual growers can use this Excel Workbook to estimate their own direct costs, returns and most-likely contribution margin. </t>
  </si>
  <si>
    <t>Example</t>
  </si>
  <si>
    <t>Initial Default Data</t>
  </si>
  <si>
    <t>Revised Producer Data</t>
  </si>
  <si>
    <t>Values in the cells not shaded green cannot be changed.</t>
  </si>
  <si>
    <r>
      <t xml:space="preserve">This can be done by entering values that best reflect your situation in the green shaded cells of the </t>
    </r>
    <r>
      <rPr>
        <b/>
        <sz val="12"/>
        <color theme="1"/>
        <rFont val="Arial"/>
        <family val="2"/>
      </rPr>
      <t>Your Farm</t>
    </r>
    <r>
      <rPr>
        <sz val="12"/>
        <color theme="1"/>
        <rFont val="Arial"/>
        <family val="2"/>
      </rPr>
      <t xml:space="preserve"> column adjacent to the </t>
    </r>
    <r>
      <rPr>
        <b/>
        <sz val="12"/>
        <color theme="1"/>
        <rFont val="Arial"/>
        <family val="2"/>
      </rPr>
      <t>Budget</t>
    </r>
    <r>
      <rPr>
        <sz val="12"/>
        <color theme="1"/>
        <rFont val="Arial"/>
        <family val="2"/>
      </rPr>
      <t xml:space="preserve"> column.</t>
    </r>
  </si>
  <si>
    <r>
      <t xml:space="preserve">The revised value entered in the </t>
    </r>
    <r>
      <rPr>
        <b/>
        <sz val="12"/>
        <color theme="1"/>
        <rFont val="Arial"/>
        <family val="2"/>
      </rPr>
      <t>Your Farm</t>
    </r>
    <r>
      <rPr>
        <sz val="12"/>
        <color theme="1"/>
        <rFont val="Arial"/>
        <family val="2"/>
      </rPr>
      <t xml:space="preserve"> column of the </t>
    </r>
    <r>
      <rPr>
        <b/>
        <sz val="12"/>
        <color theme="1"/>
        <rFont val="Arial"/>
        <family val="2"/>
      </rPr>
      <t>Producer Input</t>
    </r>
    <r>
      <rPr>
        <sz val="12"/>
        <color theme="1"/>
        <rFont val="Arial"/>
        <family val="2"/>
      </rPr>
      <t xml:space="preserve"> Tab will then be recorded in the </t>
    </r>
    <r>
      <rPr>
        <b/>
        <sz val="12"/>
        <color theme="1"/>
        <rFont val="Arial"/>
        <family val="2"/>
      </rPr>
      <t>Your Farm</t>
    </r>
    <r>
      <rPr>
        <sz val="12"/>
        <color theme="1"/>
        <rFont val="Arial"/>
        <family val="2"/>
      </rPr>
      <t xml:space="preserve"> colum of the </t>
    </r>
  </si>
  <si>
    <r>
      <t xml:space="preserve">  </t>
    </r>
    <r>
      <rPr>
        <b/>
        <sz val="12"/>
        <color theme="1"/>
        <rFont val="Arial"/>
        <family val="2"/>
      </rPr>
      <t>Ambrosia Budget Summary</t>
    </r>
    <r>
      <rPr>
        <sz val="12"/>
        <color theme="1"/>
        <rFont val="Arial"/>
        <family val="2"/>
      </rPr>
      <t xml:space="preserve"> Tab and will be used to calculate a revised contribution margin for your farm.</t>
    </r>
  </si>
  <si>
    <r>
      <t xml:space="preserve">Values in the gold colored cells are the results of calculations using the data provided in the </t>
    </r>
    <r>
      <rPr>
        <b/>
        <sz val="12"/>
        <color theme="1"/>
        <rFont val="Arial"/>
        <family val="2"/>
      </rPr>
      <t>Your Farm</t>
    </r>
    <r>
      <rPr>
        <sz val="12"/>
        <color theme="1"/>
        <rFont val="Arial"/>
        <family val="2"/>
      </rPr>
      <t xml:space="preserve"> column and cannot be changed.</t>
    </r>
  </si>
  <si>
    <r>
      <t xml:space="preserve">The worksheet labeled </t>
    </r>
    <r>
      <rPr>
        <b/>
        <sz val="12"/>
        <rFont val="Arial"/>
        <family val="2"/>
      </rPr>
      <t>Budget</t>
    </r>
    <r>
      <rPr>
        <sz val="12"/>
        <rFont val="Arial"/>
        <family val="2"/>
      </rPr>
      <t xml:space="preserve"> </t>
    </r>
    <r>
      <rPr>
        <b/>
        <sz val="12"/>
        <rFont val="Arial"/>
        <family val="2"/>
      </rPr>
      <t>Fertilizer &amp; Sprays</t>
    </r>
    <r>
      <rPr>
        <sz val="12"/>
        <rFont val="Arial"/>
        <family val="2"/>
      </rPr>
      <t xml:space="preserve"> Input provides detail on the type, rate and cost of fertilizer and sprays used in the budget.</t>
    </r>
  </si>
  <si>
    <r>
      <t xml:space="preserve">The worksheet labeled </t>
    </r>
    <r>
      <rPr>
        <b/>
        <sz val="12"/>
        <color theme="1"/>
        <rFont val="Arial"/>
        <family val="2"/>
      </rPr>
      <t xml:space="preserve">Budget Operations &amp; Investment </t>
    </r>
    <r>
      <rPr>
        <sz val="12"/>
        <color theme="1"/>
        <rFont val="Arial"/>
        <family val="2"/>
      </rPr>
      <t>provides detail on the operations, equipment  and the cost of equipment in the budget.</t>
    </r>
  </si>
  <si>
    <t>Calculation of Projected Net Income</t>
  </si>
  <si>
    <t>Less Projected Indirect Expenses</t>
  </si>
  <si>
    <t>Equal (=) Projected Net Income</t>
  </si>
  <si>
    <t>Indirect Expenses</t>
  </si>
  <si>
    <t xml:space="preserve"> Depreciation (E.g., buildings &amp; equipment)</t>
  </si>
  <si>
    <t xml:space="preserve">Depreciation* </t>
  </si>
  <si>
    <t>Interest</t>
  </si>
  <si>
    <t xml:space="preserve"> Interest</t>
  </si>
  <si>
    <t xml:space="preserve"> Other (E.g., operator labour, office expenses, accounting etc.)</t>
  </si>
  <si>
    <r>
      <t xml:space="preserve">To assess net income, </t>
    </r>
    <r>
      <rPr>
        <b/>
        <sz val="12"/>
        <color theme="1"/>
        <rFont val="Arial"/>
        <family val="2"/>
      </rPr>
      <t xml:space="preserve">indirect expenses </t>
    </r>
    <r>
      <rPr>
        <sz val="12"/>
        <color theme="1"/>
        <rFont val="Arial"/>
        <family val="2"/>
      </rPr>
      <t>must be subtracted</t>
    </r>
  </si>
  <si>
    <t xml:space="preserve">from income. Indirect expenses do not vary with the level of </t>
  </si>
  <si>
    <t>in more than one enterprise and must be allocated appropriately</t>
  </si>
  <si>
    <t xml:space="preserve">(prorated) between uses. </t>
  </si>
  <si>
    <t>Fertilizer</t>
  </si>
  <si>
    <t>Sprays</t>
  </si>
  <si>
    <t>Indirect Expense for Net Income Calculation</t>
  </si>
  <si>
    <t xml:space="preserve">* </t>
  </si>
  <si>
    <t>E.g., buildings &amp; equipment</t>
  </si>
  <si>
    <t xml:space="preserve">** </t>
  </si>
  <si>
    <t>E.g., operator labour, office expenses, accounting etc.</t>
  </si>
  <si>
    <t>Other Indirect Expenses**</t>
  </si>
  <si>
    <t xml:space="preserve">Additionally, the data represent what these area growers anticipate for an average full production year of this crop if no unforeseen failures occur; (adverse weather, pests and disease). </t>
  </si>
  <si>
    <t xml:space="preserve">(1) the direct costs of equipment, materials, supplies, and labor required to produce Ambrosia apples in a well-managed orchard; and </t>
  </si>
  <si>
    <t>Yield (lb/acre) a.</t>
  </si>
  <si>
    <t>Price ($/lb) b.</t>
  </si>
  <si>
    <t>Contract Picking</t>
  </si>
  <si>
    <t>FERTILIZER &amp; NUTRIENTS SPRAYS</t>
  </si>
  <si>
    <t>Ambrosia Apples - Fall 2019</t>
  </si>
  <si>
    <t>The data used in this study was gathered from a group of experienced fruity growers in the Okanagan Valley of British Columbia.</t>
  </si>
  <si>
    <t xml:space="preserve">It is important to note that this report uses a contribution margin approach and calculates the most-likely margin to cover direct expenses.   </t>
  </si>
  <si>
    <t xml:space="preserve">Indirect and overhead expenses such as: </t>
  </si>
  <si>
    <t xml:space="preserve">depreciation, capital payments, interest, office expenses, general utilities, accounting, insurance, operator living expenses, etc. </t>
  </si>
  <si>
    <t xml:space="preserve">These expenses have not been included as they vary greatly from orchard to orchard.  </t>
  </si>
  <si>
    <t>This program is funded through the governments of Canada and British Columbia as part of the Canadian Agricultural Partnership,                                                                                                                                a five-year, $3-billion investment by federal, provincial and territorial governments to strengthen the agriculture and agri-food sector.</t>
  </si>
  <si>
    <r>
      <t xml:space="preserve">Initial default value in the </t>
    </r>
    <r>
      <rPr>
        <b/>
        <sz val="12"/>
        <color theme="1"/>
        <rFont val="Arial"/>
        <family val="2"/>
      </rPr>
      <t>Your Farm</t>
    </r>
    <r>
      <rPr>
        <sz val="12"/>
        <color theme="1"/>
        <rFont val="Arial"/>
        <family val="2"/>
      </rPr>
      <t xml:space="preserve"> column is the same as the data in the </t>
    </r>
    <r>
      <rPr>
        <b/>
        <sz val="12"/>
        <color theme="1"/>
        <rFont val="Arial"/>
        <family val="2"/>
      </rPr>
      <t>Budget</t>
    </r>
    <r>
      <rPr>
        <sz val="12"/>
        <color theme="1"/>
        <rFont val="Arial"/>
        <family val="2"/>
      </rPr>
      <t xml:space="preserve"> column and can be changed.</t>
    </r>
  </si>
  <si>
    <t>output and are typically associated with inputs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</si>
</sst>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quot;#,##0.00_);[Red]\(&quot;$&quot;#,##0.00\)"/>
    <numFmt numFmtId="165" formatCode="_(&quot;$&quot;* #,##0.00_);_(&quot;$&quot;* \(#,##0.00\);_(&quot;$&quot;* &quot;-&quot;??_);_(@_)"/>
    <numFmt numFmtId="166" formatCode="_(* #,##0.00_);_(* \(#,##0.00\);_(* &quot;-&quot;??_);_(@_)"/>
    <numFmt numFmtId="167" formatCode="_(* #,##0_);_(* \(#,##0\);_(* &quot;-&quot;??_);_(@_)"/>
    <numFmt numFmtId="168" formatCode="0.0"/>
    <numFmt numFmtId="169" formatCode="_(* #,##0.0_);_(* \(#,##0.0\);_(* &quot;-&quot;??_);_(@_)"/>
    <numFmt numFmtId="170" formatCode="_(&quot;$&quot;* #,##0_);_(&quot;$&quot;* \(#,##0\);_(&quot;$&quot;* &quot;-&quot;??_);_(@_)"/>
    <numFmt numFmtId="171" formatCode="0\ \ &quot;HP&quot;"/>
    <numFmt numFmtId="172" formatCode="0.0%"/>
    <numFmt numFmtId="173" formatCode="&quot;$&quot;#,##0.00"/>
    <numFmt numFmtId="174" formatCode="&quot;$&quot;#,##0.0000"/>
    <numFmt numFmtId="175" formatCode="_(&quot;$&quot;* #,##0.000_);_(&quot;$&quot;* \(#,##0.000\);_(&quot;$&quot;* &quot;-&quot;??_);_(@_)"/>
    <numFmt numFmtId="176" formatCode=";;;"/>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9"/>
      <color indexed="81"/>
      <name val="Tahoma"/>
      <family val="2"/>
    </font>
    <font>
      <sz val="12"/>
      <color theme="1"/>
      <name val="Calibri"/>
      <family val="2"/>
      <scheme val="minor"/>
    </font>
    <font>
      <b/>
      <sz val="16"/>
      <color theme="1"/>
      <name val="Calibri"/>
      <family val="2"/>
      <scheme val="minor"/>
    </font>
    <font>
      <sz val="10"/>
      <color indexed="8"/>
      <name val="Arial"/>
      <family val="2"/>
    </font>
    <font>
      <b/>
      <sz val="14"/>
      <color theme="1"/>
      <name val="Calibri"/>
      <family val="2"/>
      <scheme val="minor"/>
    </font>
    <font>
      <sz val="9"/>
      <color indexed="81"/>
      <name val="Tahoma"/>
      <family val="2"/>
    </font>
    <font>
      <sz val="10"/>
      <color theme="1"/>
      <name val="Calibri"/>
      <family val="2"/>
      <scheme val="minor"/>
    </font>
    <font>
      <b/>
      <sz val="11"/>
      <color rgb="FFFFFFFF"/>
      <name val="Calibri"/>
      <family val="2"/>
    </font>
    <font>
      <u/>
      <sz val="11"/>
      <color theme="1"/>
      <name val="Calibri"/>
      <family val="2"/>
      <scheme val="minor"/>
    </font>
    <font>
      <sz val="11"/>
      <color rgb="FFFF0000"/>
      <name val="Calibri"/>
      <family val="2"/>
      <scheme val="minor"/>
    </font>
    <font>
      <sz val="11"/>
      <name val="Calibri"/>
      <family val="2"/>
      <scheme val="minor"/>
    </font>
    <font>
      <sz val="11"/>
      <name val="Arial"/>
      <family val="2"/>
    </font>
    <font>
      <sz val="11"/>
      <color theme="1"/>
      <name val="Arial"/>
      <family val="2"/>
    </font>
    <font>
      <b/>
      <sz val="11"/>
      <name val="Arial"/>
      <family val="2"/>
    </font>
    <font>
      <sz val="11"/>
      <color rgb="FFFF0000"/>
      <name val="Arial"/>
      <family val="2"/>
    </font>
    <font>
      <i/>
      <sz val="11"/>
      <color theme="1"/>
      <name val="Arial"/>
      <family val="2"/>
    </font>
    <font>
      <b/>
      <sz val="11"/>
      <color theme="1"/>
      <name val="Arial"/>
      <family val="2"/>
    </font>
    <font>
      <i/>
      <sz val="11"/>
      <color rgb="FFFF0000"/>
      <name val="Arial"/>
      <family val="2"/>
    </font>
    <font>
      <sz val="12"/>
      <color theme="1"/>
      <name val="Arial"/>
      <family val="2"/>
    </font>
    <font>
      <b/>
      <sz val="12"/>
      <color theme="1"/>
      <name val="Arial"/>
      <family val="2"/>
    </font>
    <font>
      <b/>
      <sz val="14"/>
      <color theme="1"/>
      <name val="Times New Roman"/>
      <family val="1"/>
    </font>
    <font>
      <sz val="11"/>
      <color theme="9" tint="-0.249977111117893"/>
      <name val="Times New Roman"/>
      <family val="1"/>
    </font>
    <font>
      <sz val="11"/>
      <color theme="1"/>
      <name val="Times New Roman"/>
      <family val="1"/>
    </font>
    <font>
      <sz val="11"/>
      <name val="Times New Roman"/>
      <family val="1"/>
    </font>
    <font>
      <b/>
      <sz val="16"/>
      <color theme="1"/>
      <name val="Arial"/>
      <family val="2"/>
    </font>
    <font>
      <sz val="12"/>
      <color theme="1"/>
      <name val="Symbol"/>
      <family val="1"/>
      <charset val="2"/>
    </font>
    <font>
      <sz val="7"/>
      <color theme="1"/>
      <name val="Times New Roman"/>
      <family val="1"/>
    </font>
    <font>
      <b/>
      <sz val="14"/>
      <name val="Times New Roman"/>
      <family val="1"/>
    </font>
    <font>
      <sz val="11"/>
      <color rgb="FFC00000"/>
      <name val="Times New Roman"/>
      <family val="1"/>
    </font>
    <font>
      <b/>
      <strike/>
      <sz val="9"/>
      <color indexed="81"/>
      <name val="Tahoma"/>
      <family val="2"/>
    </font>
    <font>
      <u/>
      <sz val="11"/>
      <color theme="10"/>
      <name val="Calibri"/>
      <family val="2"/>
      <scheme val="minor"/>
    </font>
    <font>
      <u/>
      <sz val="14"/>
      <name val="Courier New"/>
      <family val="3"/>
    </font>
    <font>
      <sz val="12"/>
      <name val="Calibri"/>
      <family val="2"/>
      <scheme val="minor"/>
    </font>
    <font>
      <sz val="9"/>
      <color theme="1"/>
      <name val="Arial"/>
      <family val="2"/>
    </font>
    <font>
      <sz val="10"/>
      <color theme="1"/>
      <name val="Arial"/>
      <family val="2"/>
    </font>
    <font>
      <u val="singleAccounting"/>
      <sz val="11"/>
      <color theme="1"/>
      <name val="Calibri"/>
      <family val="2"/>
      <scheme val="minor"/>
    </font>
    <font>
      <b/>
      <u/>
      <sz val="11"/>
      <color theme="1"/>
      <name val="Calibri"/>
      <family val="2"/>
      <scheme val="minor"/>
    </font>
    <font>
      <u/>
      <sz val="11"/>
      <name val="Calibri"/>
      <family val="2"/>
      <scheme val="minor"/>
    </font>
    <font>
      <sz val="11"/>
      <color theme="9" tint="-0.249977111117893"/>
      <name val="Calibri"/>
      <family val="2"/>
      <scheme val="minor"/>
    </font>
    <font>
      <b/>
      <sz val="14"/>
      <color theme="1"/>
      <name val="Arial"/>
      <family val="2"/>
    </font>
    <font>
      <sz val="13"/>
      <color theme="1"/>
      <name val="Calibri"/>
      <family val="2"/>
      <scheme val="minor"/>
    </font>
    <font>
      <u/>
      <sz val="12"/>
      <color theme="1"/>
      <name val="Calibri"/>
      <family val="2"/>
      <scheme val="minor"/>
    </font>
    <font>
      <b/>
      <u/>
      <sz val="12"/>
      <color theme="1"/>
      <name val="Calibri"/>
      <family val="2"/>
      <scheme val="minor"/>
    </font>
    <font>
      <sz val="12"/>
      <name val="Arial"/>
      <family val="2"/>
    </font>
    <font>
      <b/>
      <sz val="12"/>
      <name val="Arial"/>
      <family val="2"/>
    </font>
    <font>
      <b/>
      <sz val="12"/>
      <color rgb="FFFF0000"/>
      <name val="Arial"/>
      <family val="2"/>
    </font>
    <font>
      <b/>
      <u/>
      <sz val="14"/>
      <color theme="1"/>
      <name val="Arial"/>
      <family val="2"/>
    </font>
    <font>
      <i/>
      <sz val="10"/>
      <name val="Arial"/>
      <family val="2"/>
    </font>
  </fonts>
  <fills count="15">
    <fill>
      <patternFill patternType="none"/>
    </fill>
    <fill>
      <patternFill patternType="gray125"/>
    </fill>
    <fill>
      <patternFill patternType="darkGray">
        <fgColor indexed="9"/>
        <bgColor indexed="13"/>
      </patternFill>
    </fill>
    <fill>
      <patternFill patternType="solid">
        <fgColor theme="7" tint="0.79998168889431442"/>
        <bgColor indexed="64"/>
      </patternFill>
    </fill>
    <fill>
      <patternFill patternType="solid">
        <fgColor rgb="FFEAEAEA"/>
        <bgColor indexed="64"/>
      </patternFill>
    </fill>
    <fill>
      <patternFill patternType="solid">
        <fgColor theme="0"/>
        <bgColor indexed="64"/>
      </patternFill>
    </fill>
    <fill>
      <patternFill patternType="solid">
        <fgColor rgb="FF5B9BD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4" tint="0.79998168889431442"/>
        <bgColor indexed="64"/>
      </patternFill>
    </fill>
    <fill>
      <patternFill patternType="gray0625"/>
    </fill>
    <fill>
      <patternFill patternType="solid">
        <fgColor indexed="9"/>
        <bgColor indexed="64"/>
      </patternFill>
    </fill>
    <fill>
      <patternFill patternType="solid">
        <fgColor theme="7"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64"/>
      </left>
      <right/>
      <top style="medium">
        <color rgb="FF9BC2E6"/>
      </top>
      <bottom/>
      <diagonal/>
    </border>
    <border>
      <left/>
      <right/>
      <top style="medium">
        <color rgb="FF9BC2E6"/>
      </top>
      <bottom/>
      <diagonal/>
    </border>
    <border>
      <left/>
      <right style="thin">
        <color indexed="64"/>
      </right>
      <top style="medium">
        <color rgb="FF9BC2E6"/>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34" fillId="0" borderId="0" applyNumberFormat="0" applyFill="0" applyBorder="0" applyAlignment="0" applyProtection="0"/>
  </cellStyleXfs>
  <cellXfs count="658">
    <xf numFmtId="0" fontId="0" fillId="0" borderId="0" xfId="0"/>
    <xf numFmtId="0" fontId="0" fillId="0" borderId="0" xfId="0" applyAlignment="1">
      <alignment horizontal="center" wrapText="1"/>
    </xf>
    <xf numFmtId="166" fontId="0" fillId="0" borderId="0" xfId="1" applyFont="1"/>
    <xf numFmtId="0" fontId="0" fillId="0" borderId="0" xfId="0" applyAlignment="1">
      <alignment horizontal="center"/>
    </xf>
    <xf numFmtId="0" fontId="0" fillId="0" borderId="0" xfId="0" applyAlignment="1">
      <alignment horizontal="left"/>
    </xf>
    <xf numFmtId="9" fontId="0" fillId="0" borderId="0" xfId="2" applyFont="1"/>
    <xf numFmtId="0" fontId="2" fillId="0" borderId="0" xfId="0" applyFont="1"/>
    <xf numFmtId="0" fontId="0" fillId="0" borderId="3" xfId="0" applyBorder="1"/>
    <xf numFmtId="0" fontId="0" fillId="0" borderId="3" xfId="0" applyBorder="1" applyAlignment="1">
      <alignment horizontal="center"/>
    </xf>
    <xf numFmtId="166" fontId="0" fillId="0" borderId="3" xfId="1" applyFont="1" applyBorder="1"/>
    <xf numFmtId="0" fontId="0" fillId="0" borderId="2" xfId="0" applyBorder="1"/>
    <xf numFmtId="0" fontId="0" fillId="0" borderId="3" xfId="0" applyBorder="1" applyAlignment="1">
      <alignment horizontal="center" wrapText="1"/>
    </xf>
    <xf numFmtId="0" fontId="8" fillId="0" borderId="0" xfId="0" applyFont="1"/>
    <xf numFmtId="0" fontId="3" fillId="0" borderId="0" xfId="0" applyFont="1" applyAlignment="1">
      <alignment horizontal="left"/>
    </xf>
    <xf numFmtId="0" fontId="0" fillId="0" borderId="11" xfId="0" applyBorder="1"/>
    <xf numFmtId="0" fontId="0" fillId="0" borderId="10" xfId="0" applyBorder="1"/>
    <xf numFmtId="167" fontId="0" fillId="0" borderId="8" xfId="1" applyNumberFormat="1" applyFont="1" applyBorder="1" applyAlignment="1">
      <alignment horizontal="center"/>
    </xf>
    <xf numFmtId="167" fontId="0" fillId="0" borderId="0" xfId="1" applyNumberFormat="1" applyFont="1"/>
    <xf numFmtId="0" fontId="0" fillId="0" borderId="0" xfId="0" applyAlignment="1">
      <alignment horizontal="center" vertical="center" wrapText="1"/>
    </xf>
    <xf numFmtId="0" fontId="0" fillId="0" borderId="16" xfId="0" applyBorder="1"/>
    <xf numFmtId="166" fontId="0" fillId="0" borderId="0" xfId="0" applyNumberFormat="1"/>
    <xf numFmtId="0" fontId="0" fillId="0" borderId="4" xfId="0" applyBorder="1" applyAlignment="1">
      <alignment horizontal="center"/>
    </xf>
    <xf numFmtId="0" fontId="0" fillId="0" borderId="6" xfId="0" applyBorder="1"/>
    <xf numFmtId="0" fontId="0" fillId="0" borderId="1" xfId="0" applyBorder="1"/>
    <xf numFmtId="168" fontId="7" fillId="0" borderId="0" xfId="0" applyNumberFormat="1" applyFont="1" applyAlignment="1">
      <alignment horizontal="left"/>
    </xf>
    <xf numFmtId="0" fontId="12" fillId="0" borderId="0" xfId="0" applyFont="1"/>
    <xf numFmtId="0" fontId="0" fillId="0" borderId="0" xfId="0" applyAlignment="1">
      <alignment horizontal="center" vertical="center"/>
    </xf>
    <xf numFmtId="0" fontId="0" fillId="0" borderId="11" xfId="0" applyBorder="1" applyAlignment="1">
      <alignment horizontal="left" vertical="center" wrapText="1"/>
    </xf>
    <xf numFmtId="0" fontId="10" fillId="0" borderId="0" xfId="0" applyFont="1" applyAlignment="1">
      <alignment horizontal="left" vertical="center"/>
    </xf>
    <xf numFmtId="0" fontId="0" fillId="0" borderId="12" xfId="0" applyBorder="1" applyAlignment="1">
      <alignment horizontal="left" vertical="center" wrapText="1"/>
    </xf>
    <xf numFmtId="0" fontId="13" fillId="0" borderId="0" xfId="0" applyFont="1"/>
    <xf numFmtId="166" fontId="0" fillId="0" borderId="8" xfId="1" applyFont="1" applyBorder="1"/>
    <xf numFmtId="0" fontId="0" fillId="0" borderId="0" xfId="0" applyAlignment="1">
      <alignment vertical="center"/>
    </xf>
    <xf numFmtId="166" fontId="0" fillId="0" borderId="13" xfId="1" applyFont="1" applyBorder="1" applyAlignment="1">
      <alignment horizontal="center"/>
    </xf>
    <xf numFmtId="166" fontId="7" fillId="2" borderId="8" xfId="1" applyFont="1" applyFill="1" applyBorder="1" applyAlignment="1">
      <alignment horizontal="left"/>
    </xf>
    <xf numFmtId="0" fontId="0" fillId="5" borderId="3" xfId="0" applyFill="1" applyBorder="1"/>
    <xf numFmtId="166" fontId="0" fillId="5" borderId="3" xfId="1" applyFont="1" applyFill="1" applyBorder="1"/>
    <xf numFmtId="0" fontId="0" fillId="0" borderId="3" xfId="0" applyBorder="1" applyAlignment="1">
      <alignment horizontal="left"/>
    </xf>
    <xf numFmtId="0" fontId="0" fillId="0" borderId="3" xfId="0" applyBorder="1" applyAlignment="1">
      <alignment horizontal="center" vertical="center"/>
    </xf>
    <xf numFmtId="0" fontId="11" fillId="6" borderId="17" xfId="0" applyFont="1" applyFill="1" applyBorder="1" applyAlignment="1">
      <alignment vertical="center"/>
    </xf>
    <xf numFmtId="0" fontId="11" fillId="6" borderId="18" xfId="0" applyFont="1" applyFill="1" applyBorder="1" applyAlignment="1">
      <alignment vertical="center"/>
    </xf>
    <xf numFmtId="0" fontId="11" fillId="6" borderId="18" xfId="0" applyFont="1" applyFill="1" applyBorder="1" applyAlignment="1">
      <alignment horizontal="center" vertical="center"/>
    </xf>
    <xf numFmtId="0" fontId="11" fillId="6" borderId="18" xfId="0" applyFont="1" applyFill="1" applyBorder="1" applyAlignment="1">
      <alignment horizontal="center" vertical="center" wrapText="1"/>
    </xf>
    <xf numFmtId="2" fontId="11" fillId="6" borderId="19" xfId="0" applyNumberFormat="1" applyFont="1" applyFill="1" applyBorder="1" applyAlignment="1">
      <alignment horizontal="center" vertical="center"/>
    </xf>
    <xf numFmtId="166" fontId="2" fillId="0" borderId="0" xfId="1" applyFont="1" applyAlignment="1">
      <alignment horizontal="center"/>
    </xf>
    <xf numFmtId="0" fontId="2" fillId="0" borderId="0" xfId="0" applyFont="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xf>
    <xf numFmtId="167" fontId="0" fillId="0" borderId="13" xfId="1" applyNumberFormat="1" applyFont="1" applyBorder="1"/>
    <xf numFmtId="0" fontId="0" fillId="0" borderId="0" xfId="0" applyBorder="1"/>
    <xf numFmtId="167" fontId="0" fillId="0" borderId="0" xfId="1" applyNumberFormat="1" applyFont="1" applyBorder="1"/>
    <xf numFmtId="0" fontId="0" fillId="0" borderId="0" xfId="0" applyBorder="1" applyAlignment="1">
      <alignment horizontal="center"/>
    </xf>
    <xf numFmtId="166" fontId="0" fillId="0" borderId="0" xfId="1" applyFont="1" applyBorder="1" applyAlignment="1">
      <alignment horizontal="center"/>
    </xf>
    <xf numFmtId="166" fontId="0" fillId="0" borderId="0" xfId="1" applyFont="1" applyBorder="1"/>
    <xf numFmtId="0" fontId="0" fillId="0" borderId="20" xfId="0" applyFont="1" applyFill="1" applyBorder="1"/>
    <xf numFmtId="0" fontId="0" fillId="0" borderId="21" xfId="0" applyFont="1" applyFill="1" applyBorder="1"/>
    <xf numFmtId="0" fontId="0" fillId="0" borderId="21" xfId="0" applyFont="1" applyFill="1" applyBorder="1" applyAlignment="1">
      <alignment vertical="center"/>
    </xf>
    <xf numFmtId="0" fontId="0" fillId="0" borderId="1" xfId="0" applyFill="1" applyBorder="1" applyAlignment="1">
      <alignment horizontal="center" wrapText="1"/>
    </xf>
    <xf numFmtId="0" fontId="0" fillId="0" borderId="0" xfId="0" applyFill="1"/>
    <xf numFmtId="0" fontId="0" fillId="0" borderId="0" xfId="0" applyFont="1"/>
    <xf numFmtId="169" fontId="0" fillId="0" borderId="0" xfId="1" applyNumberFormat="1" applyFont="1" applyBorder="1"/>
    <xf numFmtId="2" fontId="0" fillId="0" borderId="0" xfId="0" applyNumberFormat="1" applyBorder="1"/>
    <xf numFmtId="169" fontId="0" fillId="0" borderId="13" xfId="1" applyNumberFormat="1" applyFont="1" applyBorder="1"/>
    <xf numFmtId="2" fontId="0" fillId="0" borderId="13" xfId="0" applyNumberFormat="1" applyBorder="1"/>
    <xf numFmtId="0" fontId="0" fillId="0" borderId="16" xfId="0" quotePrefix="1" applyBorder="1"/>
    <xf numFmtId="166" fontId="0" fillId="0" borderId="1" xfId="1" applyFont="1" applyBorder="1"/>
    <xf numFmtId="0" fontId="0" fillId="0" borderId="0" xfId="0" applyFont="1" applyFill="1" applyBorder="1"/>
    <xf numFmtId="0" fontId="0" fillId="0" borderId="0" xfId="0" applyFill="1" applyBorder="1"/>
    <xf numFmtId="0" fontId="0" fillId="0" borderId="0" xfId="0" applyFont="1" applyBorder="1"/>
    <xf numFmtId="0" fontId="2" fillId="0" borderId="0" xfId="0" applyFont="1" applyBorder="1" applyAlignment="1">
      <alignment horizontal="center" vertical="center" wrapText="1"/>
    </xf>
    <xf numFmtId="166" fontId="0" fillId="0" borderId="4" xfId="1" applyFont="1" applyBorder="1"/>
    <xf numFmtId="166" fontId="7" fillId="2" borderId="0" xfId="1" applyFont="1" applyFill="1" applyBorder="1" applyAlignment="1">
      <alignment horizontal="left"/>
    </xf>
    <xf numFmtId="0" fontId="0" fillId="3" borderId="16" xfId="0" applyFill="1" applyBorder="1"/>
    <xf numFmtId="0" fontId="0" fillId="3" borderId="0" xfId="0" applyFill="1" applyBorder="1"/>
    <xf numFmtId="167" fontId="0" fillId="3" borderId="0" xfId="1" applyNumberFormat="1" applyFont="1" applyFill="1" applyBorder="1"/>
    <xf numFmtId="166" fontId="0" fillId="3" borderId="0" xfId="1" applyFont="1" applyFill="1" applyBorder="1"/>
    <xf numFmtId="166" fontId="0" fillId="3" borderId="8" xfId="1" applyFont="1" applyFill="1" applyBorder="1"/>
    <xf numFmtId="168" fontId="7" fillId="3" borderId="0" xfId="0" applyNumberFormat="1" applyFont="1" applyFill="1" applyBorder="1" applyAlignment="1">
      <alignment horizontal="left"/>
    </xf>
    <xf numFmtId="166" fontId="7" fillId="3" borderId="0" xfId="1" applyFont="1" applyFill="1" applyBorder="1" applyAlignment="1">
      <alignment horizontal="left"/>
    </xf>
    <xf numFmtId="167" fontId="1" fillId="3" borderId="0" xfId="1" applyNumberFormat="1" applyFill="1" applyBorder="1"/>
    <xf numFmtId="166" fontId="1" fillId="3" borderId="0" xfId="1" applyFill="1" applyBorder="1"/>
    <xf numFmtId="166" fontId="1" fillId="3" borderId="8" xfId="1" applyFill="1" applyBorder="1"/>
    <xf numFmtId="0" fontId="2" fillId="0" borderId="3" xfId="0" applyFont="1" applyBorder="1" applyAlignment="1">
      <alignment horizontal="left"/>
    </xf>
    <xf numFmtId="164" fontId="0" fillId="0" borderId="3" xfId="0" applyNumberFormat="1" applyBorder="1" applyAlignment="1">
      <alignment horizontal="center" vertical="center" wrapText="1"/>
    </xf>
    <xf numFmtId="0" fontId="3" fillId="0" borderId="2" xfId="0" applyFont="1" applyBorder="1" applyAlignment="1"/>
    <xf numFmtId="0" fontId="3" fillId="0" borderId="3" xfId="0" applyFont="1" applyBorder="1" applyAlignment="1"/>
    <xf numFmtId="0" fontId="0" fillId="4" borderId="3" xfId="0" applyFill="1" applyBorder="1" applyAlignment="1">
      <alignment horizontal="center" vertical="center" wrapText="1"/>
    </xf>
    <xf numFmtId="0" fontId="0" fillId="7" borderId="4" xfId="0" applyFill="1" applyBorder="1" applyAlignment="1">
      <alignment horizontal="center" vertical="center" wrapText="1"/>
    </xf>
    <xf numFmtId="0" fontId="2" fillId="5" borderId="2" xfId="1" applyNumberFormat="1" applyFont="1" applyFill="1" applyBorder="1" applyAlignment="1">
      <alignment horizontal="left"/>
    </xf>
    <xf numFmtId="167" fontId="0" fillId="5" borderId="3" xfId="1" applyNumberFormat="1" applyFont="1" applyFill="1" applyBorder="1"/>
    <xf numFmtId="166" fontId="0" fillId="5" borderId="4" xfId="1" applyFont="1" applyFill="1" applyBorder="1"/>
    <xf numFmtId="0" fontId="0" fillId="0" borderId="1" xfId="0" applyBorder="1" applyAlignment="1">
      <alignment horizontal="center" vertical="center" wrapText="1"/>
    </xf>
    <xf numFmtId="166" fontId="7" fillId="2" borderId="11" xfId="1" applyFont="1" applyFill="1" applyBorder="1" applyAlignment="1">
      <alignment horizontal="left"/>
    </xf>
    <xf numFmtId="166" fontId="0" fillId="3" borderId="11" xfId="1" applyFont="1" applyFill="1" applyBorder="1"/>
    <xf numFmtId="166" fontId="0" fillId="5" borderId="1" xfId="1" applyFont="1" applyFill="1" applyBorder="1"/>
    <xf numFmtId="166" fontId="1" fillId="3" borderId="11" xfId="1" applyFill="1" applyBorder="1"/>
    <xf numFmtId="0" fontId="0" fillId="7" borderId="1" xfId="0" applyFill="1" applyBorder="1" applyAlignment="1">
      <alignment horizontal="center" vertical="center" wrapText="1"/>
    </xf>
    <xf numFmtId="166" fontId="0" fillId="0" borderId="0" xfId="0" applyNumberFormat="1" applyFill="1"/>
    <xf numFmtId="0" fontId="0" fillId="8" borderId="3" xfId="0" applyFill="1" applyBorder="1" applyAlignment="1">
      <alignment horizontal="center" vertical="center" wrapText="1"/>
    </xf>
    <xf numFmtId="164" fontId="0" fillId="8" borderId="3" xfId="0" applyNumberFormat="1" applyFill="1" applyBorder="1" applyAlignment="1">
      <alignment horizontal="center" vertical="center" wrapText="1"/>
    </xf>
    <xf numFmtId="166" fontId="0" fillId="0" borderId="0" xfId="1" applyFont="1" applyFill="1" applyBorder="1"/>
    <xf numFmtId="0" fontId="2" fillId="0" borderId="15" xfId="0" applyFont="1" applyBorder="1"/>
    <xf numFmtId="0" fontId="0" fillId="0" borderId="5" xfId="0" applyFont="1" applyBorder="1"/>
    <xf numFmtId="0" fontId="0" fillId="0" borderId="3" xfId="0" applyFont="1" applyBorder="1"/>
    <xf numFmtId="0" fontId="2" fillId="0" borderId="3" xfId="0" applyFont="1" applyBorder="1" applyAlignment="1">
      <alignment horizontal="left" vertical="center"/>
    </xf>
    <xf numFmtId="0" fontId="0" fillId="0" borderId="0" xfId="0" applyFont="1" applyAlignment="1">
      <alignment horizontal="center"/>
    </xf>
    <xf numFmtId="0" fontId="0" fillId="9" borderId="22" xfId="0" applyFont="1" applyFill="1" applyBorder="1"/>
    <xf numFmtId="0" fontId="0" fillId="9" borderId="23" xfId="0" applyFont="1" applyFill="1" applyBorder="1"/>
    <xf numFmtId="9" fontId="0" fillId="9" borderId="24" xfId="0" applyNumberFormat="1" applyFont="1" applyFill="1" applyBorder="1"/>
    <xf numFmtId="0" fontId="0" fillId="9" borderId="23" xfId="0" applyFont="1" applyFill="1" applyBorder="1" applyAlignment="1">
      <alignment horizontal="center"/>
    </xf>
    <xf numFmtId="165" fontId="0" fillId="9" borderId="23" xfId="3" applyNumberFormat="1" applyFont="1" applyFill="1" applyBorder="1"/>
    <xf numFmtId="0" fontId="0" fillId="9" borderId="25" xfId="1" applyNumberFormat="1" applyFont="1" applyFill="1" applyBorder="1" applyAlignment="1">
      <alignment horizontal="center"/>
    </xf>
    <xf numFmtId="0" fontId="0" fillId="10" borderId="26" xfId="0" applyFont="1" applyFill="1" applyBorder="1"/>
    <xf numFmtId="0" fontId="0" fillId="10" borderId="24" xfId="0" applyFont="1" applyFill="1" applyBorder="1"/>
    <xf numFmtId="9" fontId="0" fillId="10" borderId="24" xfId="0" applyNumberFormat="1" applyFont="1" applyFill="1" applyBorder="1"/>
    <xf numFmtId="0" fontId="0" fillId="10" borderId="24" xfId="0" applyFont="1" applyFill="1" applyBorder="1" applyAlignment="1">
      <alignment horizontal="center"/>
    </xf>
    <xf numFmtId="165" fontId="0" fillId="10" borderId="24" xfId="3" applyNumberFormat="1" applyFont="1" applyFill="1" applyBorder="1"/>
    <xf numFmtId="165" fontId="0" fillId="10" borderId="24" xfId="0" applyNumberFormat="1" applyFont="1" applyFill="1" applyBorder="1"/>
    <xf numFmtId="166" fontId="0" fillId="10" borderId="24" xfId="1" applyNumberFormat="1" applyFont="1" applyFill="1" applyBorder="1" applyAlignment="1">
      <alignment horizontal="center"/>
    </xf>
    <xf numFmtId="0" fontId="0" fillId="10" borderId="27" xfId="1" applyNumberFormat="1" applyFont="1" applyFill="1" applyBorder="1" applyAlignment="1">
      <alignment horizontal="center"/>
    </xf>
    <xf numFmtId="0" fontId="0" fillId="9" borderId="26" xfId="0" applyFont="1" applyFill="1" applyBorder="1"/>
    <xf numFmtId="0" fontId="0" fillId="9" borderId="24" xfId="0" applyFont="1" applyFill="1" applyBorder="1"/>
    <xf numFmtId="0" fontId="0" fillId="9" borderId="24" xfId="0" applyFont="1" applyFill="1" applyBorder="1" applyAlignment="1">
      <alignment horizontal="center"/>
    </xf>
    <xf numFmtId="165" fontId="0" fillId="9" borderId="24" xfId="3" applyNumberFormat="1" applyFont="1" applyFill="1" applyBorder="1"/>
    <xf numFmtId="165" fontId="0" fillId="9" borderId="24" xfId="0" applyNumberFormat="1" applyFont="1" applyFill="1" applyBorder="1"/>
    <xf numFmtId="0" fontId="0" fillId="9" borderId="27" xfId="1" applyNumberFormat="1" applyFont="1" applyFill="1" applyBorder="1" applyAlignment="1">
      <alignment horizontal="center"/>
    </xf>
    <xf numFmtId="0" fontId="0" fillId="9" borderId="26" xfId="0" applyFont="1" applyFill="1" applyBorder="1" applyAlignment="1">
      <alignment vertical="center"/>
    </xf>
    <xf numFmtId="167" fontId="0" fillId="9" borderId="24" xfId="1" applyNumberFormat="1" applyFont="1" applyFill="1" applyBorder="1"/>
    <xf numFmtId="14" fontId="0" fillId="9" borderId="26" xfId="0" quotePrefix="1" applyNumberFormat="1" applyFont="1" applyFill="1" applyBorder="1"/>
    <xf numFmtId="0" fontId="0" fillId="0" borderId="0" xfId="0" applyAlignment="1">
      <alignment horizontal="center"/>
    </xf>
    <xf numFmtId="0" fontId="2" fillId="0" borderId="0" xfId="0" applyFont="1" applyBorder="1"/>
    <xf numFmtId="0" fontId="0" fillId="0" borderId="0" xfId="0" applyAlignment="1">
      <alignment horizontal="center"/>
    </xf>
    <xf numFmtId="2" fontId="1" fillId="11" borderId="1" xfId="2" applyNumberFormat="1" applyFill="1" applyBorder="1" applyAlignment="1">
      <alignment horizontal="center"/>
    </xf>
    <xf numFmtId="0" fontId="0" fillId="0" borderId="28" xfId="0" applyFont="1" applyFill="1" applyBorder="1"/>
    <xf numFmtId="2" fontId="0" fillId="0" borderId="0" xfId="0" applyNumberFormat="1" applyAlignment="1">
      <alignment horizontal="center"/>
    </xf>
    <xf numFmtId="166" fontId="0" fillId="0" borderId="0" xfId="1" applyFont="1" applyFill="1"/>
    <xf numFmtId="14" fontId="0" fillId="0" borderId="0" xfId="0" quotePrefix="1" applyNumberFormat="1" applyBorder="1"/>
    <xf numFmtId="0" fontId="0" fillId="0" borderId="0" xfId="0" quotePrefix="1" applyFont="1" applyFill="1" applyBorder="1"/>
    <xf numFmtId="167" fontId="0" fillId="0" borderId="0" xfId="1" applyNumberFormat="1" applyFont="1" applyFill="1"/>
    <xf numFmtId="0" fontId="5" fillId="0" borderId="0" xfId="0" applyFont="1" applyBorder="1"/>
    <xf numFmtId="0" fontId="16" fillId="0" borderId="0" xfId="0" applyFont="1"/>
    <xf numFmtId="0" fontId="16" fillId="0" borderId="0" xfId="0" applyFont="1" applyAlignment="1">
      <alignment horizontal="center"/>
    </xf>
    <xf numFmtId="0" fontId="16" fillId="0" borderId="13" xfId="0" applyFont="1" applyBorder="1"/>
    <xf numFmtId="0" fontId="16" fillId="0" borderId="7" xfId="0" applyFont="1" applyBorder="1"/>
    <xf numFmtId="0" fontId="16" fillId="0" borderId="8" xfId="0" applyFont="1" applyBorder="1"/>
    <xf numFmtId="4" fontId="16" fillId="0" borderId="0" xfId="0" applyNumberFormat="1" applyFont="1"/>
    <xf numFmtId="0" fontId="16" fillId="0" borderId="5" xfId="0" applyFont="1" applyBorder="1"/>
    <xf numFmtId="0" fontId="19" fillId="0" borderId="13" xfId="0" applyFont="1" applyBorder="1" applyAlignment="1">
      <alignment horizontal="right"/>
    </xf>
    <xf numFmtId="0" fontId="16" fillId="0" borderId="5" xfId="0" applyFont="1" applyBorder="1" applyAlignment="1">
      <alignment horizontal="center"/>
    </xf>
    <xf numFmtId="0" fontId="16" fillId="0" borderId="9" xfId="0" applyFont="1" applyBorder="1"/>
    <xf numFmtId="172" fontId="0" fillId="0" borderId="0" xfId="2" applyNumberFormat="1" applyFont="1" applyAlignment="1">
      <alignment horizontal="right"/>
    </xf>
    <xf numFmtId="0" fontId="17" fillId="0" borderId="0" xfId="0" applyFont="1" applyAlignment="1"/>
    <xf numFmtId="0" fontId="16" fillId="0" borderId="16" xfId="0" applyFont="1" applyBorder="1"/>
    <xf numFmtId="166" fontId="0" fillId="0" borderId="0" xfId="0" applyNumberFormat="1" applyFont="1"/>
    <xf numFmtId="0" fontId="21" fillId="0" borderId="0" xfId="0" applyFont="1" applyAlignment="1">
      <alignment horizontal="left"/>
    </xf>
    <xf numFmtId="0" fontId="20" fillId="0" borderId="0" xfId="0" applyFont="1"/>
    <xf numFmtId="172" fontId="0" fillId="0" borderId="0" xfId="0" applyNumberFormat="1" applyFont="1"/>
    <xf numFmtId="0" fontId="16" fillId="0" borderId="0" xfId="0" applyFont="1" applyBorder="1"/>
    <xf numFmtId="0" fontId="16" fillId="0" borderId="0" xfId="0" applyFont="1" applyBorder="1" applyAlignment="1">
      <alignment horizontal="center"/>
    </xf>
    <xf numFmtId="3" fontId="16" fillId="0" borderId="0" xfId="0" applyNumberFormat="1" applyFont="1" applyBorder="1" applyAlignment="1">
      <alignment horizontal="center"/>
    </xf>
    <xf numFmtId="2" fontId="16" fillId="0" borderId="0" xfId="0" applyNumberFormat="1" applyFont="1" applyBorder="1" applyAlignment="1">
      <alignment horizontal="center"/>
    </xf>
    <xf numFmtId="0" fontId="16" fillId="0" borderId="2" xfId="0" applyFont="1" applyBorder="1"/>
    <xf numFmtId="0" fontId="16" fillId="0" borderId="3" xfId="0" applyFont="1" applyBorder="1"/>
    <xf numFmtId="3" fontId="16" fillId="0" borderId="3" xfId="0" applyNumberFormat="1" applyFont="1" applyBorder="1"/>
    <xf numFmtId="2" fontId="16" fillId="0" borderId="3" xfId="0" applyNumberFormat="1" applyFont="1" applyBorder="1"/>
    <xf numFmtId="0" fontId="16" fillId="0" borderId="6" xfId="0" applyFont="1" applyBorder="1"/>
    <xf numFmtId="0" fontId="16" fillId="0" borderId="0" xfId="0" applyFont="1" applyBorder="1" applyAlignment="1">
      <alignment horizontal="right"/>
    </xf>
    <xf numFmtId="171" fontId="16" fillId="0" borderId="0" xfId="0" applyNumberFormat="1" applyFont="1" applyBorder="1" applyAlignment="1">
      <alignment horizontal="center"/>
    </xf>
    <xf numFmtId="0" fontId="16" fillId="0" borderId="14" xfId="0" applyFont="1" applyBorder="1"/>
    <xf numFmtId="166" fontId="0" fillId="0" borderId="4" xfId="0" applyNumberFormat="1" applyFont="1" applyBorder="1"/>
    <xf numFmtId="0" fontId="0" fillId="0" borderId="4" xfId="0" applyFont="1" applyBorder="1"/>
    <xf numFmtId="0" fontId="16" fillId="12" borderId="13" xfId="0" applyFont="1" applyFill="1" applyBorder="1"/>
    <xf numFmtId="3" fontId="16" fillId="0" borderId="0" xfId="0" applyNumberFormat="1" applyFont="1" applyBorder="1"/>
    <xf numFmtId="166" fontId="16" fillId="0" borderId="0" xfId="1" applyFont="1" applyBorder="1"/>
    <xf numFmtId="0" fontId="0" fillId="0" borderId="8" xfId="0" applyFont="1" applyBorder="1"/>
    <xf numFmtId="0" fontId="15" fillId="0" borderId="0" xfId="0" applyFont="1" applyBorder="1"/>
    <xf numFmtId="3" fontId="15" fillId="0" borderId="0" xfId="0" applyNumberFormat="1" applyFont="1" applyBorder="1"/>
    <xf numFmtId="2" fontId="15" fillId="0" borderId="0" xfId="0" applyNumberFormat="1" applyFont="1" applyBorder="1"/>
    <xf numFmtId="4" fontId="15" fillId="0" borderId="0" xfId="0" applyNumberFormat="1" applyFont="1" applyBorder="1" applyAlignment="1">
      <alignment horizontal="right"/>
    </xf>
    <xf numFmtId="4" fontId="0" fillId="0" borderId="8" xfId="0" applyNumberFormat="1" applyFont="1" applyBorder="1"/>
    <xf numFmtId="0" fontId="16" fillId="12" borderId="7" xfId="0" applyFont="1" applyFill="1" applyBorder="1" applyAlignment="1">
      <alignment horizontal="center" wrapText="1"/>
    </xf>
    <xf numFmtId="0" fontId="16" fillId="0" borderId="0" xfId="0" applyFont="1" applyFill="1"/>
    <xf numFmtId="0" fontId="0" fillId="0" borderId="0" xfId="0" applyFont="1" applyFill="1"/>
    <xf numFmtId="166" fontId="0" fillId="0" borderId="5" xfId="1" applyFont="1" applyFill="1" applyBorder="1"/>
    <xf numFmtId="0" fontId="0" fillId="0" borderId="0" xfId="0" applyFill="1" applyBorder="1" applyAlignment="1">
      <alignment horizontal="center"/>
    </xf>
    <xf numFmtId="0" fontId="15" fillId="0" borderId="10" xfId="0" applyFont="1" applyBorder="1"/>
    <xf numFmtId="0" fontId="15" fillId="0" borderId="11" xfId="0" applyFont="1" applyBorder="1"/>
    <xf numFmtId="0" fontId="15" fillId="0" borderId="0" xfId="0" applyFont="1" applyFill="1" applyBorder="1"/>
    <xf numFmtId="3" fontId="15" fillId="0" borderId="0" xfId="0" applyNumberFormat="1" applyFont="1" applyFill="1" applyBorder="1"/>
    <xf numFmtId="2" fontId="15" fillId="0" borderId="0" xfId="0" applyNumberFormat="1" applyFont="1" applyFill="1" applyBorder="1"/>
    <xf numFmtId="166" fontId="0" fillId="3" borderId="10" xfId="1" applyFont="1" applyFill="1" applyBorder="1"/>
    <xf numFmtId="2" fontId="22" fillId="5" borderId="5" xfId="0" applyNumberFormat="1" applyFont="1" applyFill="1" applyBorder="1"/>
    <xf numFmtId="0" fontId="26" fillId="5" borderId="0" xfId="0" applyFont="1" applyFill="1"/>
    <xf numFmtId="0" fontId="2" fillId="0" borderId="0" xfId="0" applyFont="1" applyFill="1" applyAlignment="1">
      <alignment vertical="center" wrapText="1"/>
    </xf>
    <xf numFmtId="0" fontId="0" fillId="0" borderId="11" xfId="0" applyFont="1" applyFill="1" applyBorder="1"/>
    <xf numFmtId="0" fontId="0" fillId="0" borderId="11" xfId="0" quotePrefix="1" applyFont="1" applyFill="1" applyBorder="1"/>
    <xf numFmtId="0" fontId="0" fillId="0" borderId="12" xfId="0" applyFont="1" applyFill="1" applyBorder="1"/>
    <xf numFmtId="0" fontId="5" fillId="0" borderId="16" xfId="0" applyFont="1" applyBorder="1"/>
    <xf numFmtId="0" fontId="5" fillId="0" borderId="8" xfId="0" applyFont="1" applyBorder="1"/>
    <xf numFmtId="3" fontId="5" fillId="0" borderId="8" xfId="0" applyNumberFormat="1" applyFont="1" applyBorder="1"/>
    <xf numFmtId="0" fontId="3" fillId="0" borderId="16" xfId="0" applyFont="1" applyBorder="1"/>
    <xf numFmtId="171" fontId="5" fillId="0" borderId="0" xfId="0" applyNumberFormat="1" applyFont="1" applyBorder="1" applyAlignment="1">
      <alignment horizontal="center"/>
    </xf>
    <xf numFmtId="0" fontId="23" fillId="0" borderId="0" xfId="0" applyFont="1" applyAlignment="1">
      <alignment vertical="center"/>
    </xf>
    <xf numFmtId="0" fontId="22" fillId="0" borderId="0" xfId="0" applyFont="1" applyAlignment="1">
      <alignment vertical="top"/>
    </xf>
    <xf numFmtId="0" fontId="22" fillId="0" borderId="0" xfId="0" applyFont="1" applyAlignment="1">
      <alignment vertical="center"/>
    </xf>
    <xf numFmtId="0" fontId="29" fillId="0" borderId="0" xfId="0" applyFont="1" applyAlignment="1">
      <alignment horizontal="left" vertical="center" indent="5"/>
    </xf>
    <xf numFmtId="0" fontId="22" fillId="0" borderId="0" xfId="0" applyFont="1" applyAlignment="1">
      <alignment horizontal="left" vertical="top" wrapText="1"/>
    </xf>
    <xf numFmtId="0" fontId="26" fillId="5" borderId="0" xfId="0" applyFont="1" applyFill="1" applyBorder="1" applyAlignment="1">
      <alignment vertical="top"/>
    </xf>
    <xf numFmtId="0" fontId="25" fillId="5" borderId="0" xfId="0" applyFont="1" applyFill="1" applyBorder="1" applyAlignment="1">
      <alignment vertical="top"/>
    </xf>
    <xf numFmtId="0" fontId="32" fillId="5" borderId="0" xfId="0" applyFont="1" applyFill="1" applyBorder="1" applyAlignment="1">
      <alignment vertical="top"/>
    </xf>
    <xf numFmtId="0" fontId="25" fillId="5" borderId="0" xfId="0" applyFont="1" applyFill="1"/>
    <xf numFmtId="0" fontId="32" fillId="5" borderId="0" xfId="0" applyFont="1" applyFill="1"/>
    <xf numFmtId="0" fontId="32" fillId="5" borderId="0" xfId="0" applyFont="1" applyFill="1" applyBorder="1"/>
    <xf numFmtId="0" fontId="31" fillId="13" borderId="5" xfId="0" applyFont="1" applyFill="1" applyBorder="1" applyAlignment="1"/>
    <xf numFmtId="0" fontId="34" fillId="0" borderId="0" xfId="4"/>
    <xf numFmtId="0" fontId="26" fillId="5" borderId="0" xfId="0" applyFont="1" applyFill="1" applyBorder="1" applyAlignment="1">
      <alignment horizontal="left" vertical="top"/>
    </xf>
    <xf numFmtId="0" fontId="26" fillId="5" borderId="0" xfId="0" applyFont="1" applyFill="1" applyBorder="1"/>
    <xf numFmtId="0" fontId="25" fillId="5" borderId="0" xfId="0" applyFont="1" applyFill="1" applyBorder="1"/>
    <xf numFmtId="0" fontId="5" fillId="0" borderId="0" xfId="0" applyFont="1"/>
    <xf numFmtId="0" fontId="5" fillId="0" borderId="0" xfId="0" applyFont="1" applyAlignment="1">
      <alignment horizontal="center"/>
    </xf>
    <xf numFmtId="0" fontId="5" fillId="0" borderId="2" xfId="0" applyFont="1" applyBorder="1"/>
    <xf numFmtId="0" fontId="5" fillId="0" borderId="3" xfId="0" applyFont="1" applyBorder="1"/>
    <xf numFmtId="0" fontId="5" fillId="0" borderId="2"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xf numFmtId="0" fontId="5" fillId="0" borderId="10" xfId="0" applyFont="1" applyBorder="1" applyAlignment="1">
      <alignment horizontal="center"/>
    </xf>
    <xf numFmtId="0" fontId="5" fillId="0" borderId="11" xfId="0" applyFont="1" applyBorder="1"/>
    <xf numFmtId="0" fontId="5" fillId="0" borderId="11" xfId="0" applyFont="1" applyBorder="1" applyAlignment="1">
      <alignment horizontal="center"/>
    </xf>
    <xf numFmtId="0" fontId="5" fillId="0" borderId="14" xfId="0" applyFont="1" applyBorder="1"/>
    <xf numFmtId="0" fontId="5" fillId="0" borderId="12" xfId="0" applyFont="1" applyBorder="1" applyAlignment="1">
      <alignment horizontal="center"/>
    </xf>
    <xf numFmtId="0" fontId="5" fillId="0" borderId="1" xfId="0" applyFont="1" applyBorder="1"/>
    <xf numFmtId="0" fontId="5" fillId="0" borderId="8" xfId="0" applyFont="1" applyBorder="1" applyAlignment="1">
      <alignment horizontal="center"/>
    </xf>
    <xf numFmtId="0" fontId="5" fillId="0" borderId="13" xfId="0" applyFont="1" applyBorder="1" applyAlignment="1">
      <alignment horizontal="center"/>
    </xf>
    <xf numFmtId="165" fontId="5" fillId="0" borderId="10" xfId="3" applyFont="1" applyBorder="1" applyAlignment="1">
      <alignment horizontal="center"/>
    </xf>
    <xf numFmtId="165" fontId="5" fillId="0" borderId="11" xfId="3"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9" fontId="5" fillId="0" borderId="8" xfId="2" quotePrefix="1" applyFont="1" applyBorder="1" applyAlignment="1">
      <alignment horizontal="center"/>
    </xf>
    <xf numFmtId="167" fontId="5" fillId="0" borderId="4" xfId="1" quotePrefix="1" applyNumberFormat="1" applyFont="1" applyBorder="1" applyAlignment="1">
      <alignment horizontal="center"/>
    </xf>
    <xf numFmtId="0" fontId="5" fillId="0" borderId="1" xfId="1" applyNumberFormat="1" applyFont="1" applyBorder="1" applyAlignment="1">
      <alignment horizontal="center"/>
    </xf>
    <xf numFmtId="9" fontId="5" fillId="7" borderId="8" xfId="2" applyFont="1" applyFill="1" applyBorder="1" applyAlignment="1" applyProtection="1">
      <alignment horizontal="center"/>
      <protection locked="0"/>
    </xf>
    <xf numFmtId="0" fontId="5" fillId="0" borderId="0" xfId="0" applyFont="1" applyFill="1" applyBorder="1"/>
    <xf numFmtId="167" fontId="5" fillId="0" borderId="0" xfId="1" applyNumberFormat="1" applyFont="1" applyFill="1" applyBorder="1" applyProtection="1">
      <protection locked="0"/>
    </xf>
    <xf numFmtId="9" fontId="5" fillId="0" borderId="0" xfId="2" applyFont="1" applyFill="1" applyBorder="1" applyAlignment="1" applyProtection="1">
      <alignment horizontal="center"/>
      <protection locked="0"/>
    </xf>
    <xf numFmtId="0" fontId="35" fillId="0" borderId="0" xfId="0" applyFont="1" applyAlignment="1">
      <alignment vertical="center"/>
    </xf>
    <xf numFmtId="3" fontId="5" fillId="0" borderId="1" xfId="0" applyNumberFormat="1" applyFont="1" applyBorder="1" applyAlignment="1">
      <alignment horizontal="center"/>
    </xf>
    <xf numFmtId="0" fontId="5" fillId="7" borderId="4" xfId="1" quotePrefix="1" applyNumberFormat="1" applyFont="1" applyFill="1" applyBorder="1" applyAlignment="1" applyProtection="1">
      <alignment horizontal="center"/>
      <protection locked="0"/>
    </xf>
    <xf numFmtId="0" fontId="5" fillId="0" borderId="10" xfId="0" applyFont="1" applyBorder="1"/>
    <xf numFmtId="165" fontId="5" fillId="7" borderId="7" xfId="3" applyFont="1" applyFill="1" applyBorder="1" applyAlignment="1" applyProtection="1">
      <alignment horizontal="center"/>
      <protection locked="0"/>
    </xf>
    <xf numFmtId="165" fontId="5" fillId="7" borderId="8" xfId="3" applyFont="1" applyFill="1" applyBorder="1" applyAlignment="1" applyProtection="1">
      <alignment horizontal="center"/>
      <protection locked="0"/>
    </xf>
    <xf numFmtId="168" fontId="0" fillId="0" borderId="0" xfId="0" applyNumberFormat="1"/>
    <xf numFmtId="165" fontId="5" fillId="7" borderId="9" xfId="3" applyFont="1" applyFill="1" applyBorder="1" applyAlignment="1" applyProtection="1">
      <alignment horizontal="center"/>
      <protection locked="0"/>
    </xf>
    <xf numFmtId="14" fontId="0" fillId="0" borderId="5" xfId="0" quotePrefix="1" applyNumberFormat="1" applyBorder="1"/>
    <xf numFmtId="0" fontId="0" fillId="0" borderId="5" xfId="0" quotePrefix="1" applyFont="1" applyFill="1" applyBorder="1"/>
    <xf numFmtId="167" fontId="0" fillId="0" borderId="5" xfId="1" applyNumberFormat="1" applyFont="1" applyBorder="1"/>
    <xf numFmtId="0" fontId="0" fillId="0" borderId="5" xfId="0" applyBorder="1"/>
    <xf numFmtId="166" fontId="0" fillId="0" borderId="5" xfId="1" applyFont="1" applyBorder="1"/>
    <xf numFmtId="0" fontId="0" fillId="0" borderId="5" xfId="0" applyBorder="1" applyAlignment="1">
      <alignment horizontal="left"/>
    </xf>
    <xf numFmtId="0" fontId="0" fillId="0" borderId="5" xfId="0" applyFont="1" applyFill="1" applyBorder="1"/>
    <xf numFmtId="169" fontId="0" fillId="0" borderId="5" xfId="1" applyNumberFormat="1" applyFont="1" applyBorder="1"/>
    <xf numFmtId="0" fontId="0" fillId="0" borderId="5" xfId="0" applyFill="1" applyBorder="1"/>
    <xf numFmtId="166" fontId="0" fillId="0" borderId="5" xfId="1" applyFont="1" applyBorder="1" applyAlignment="1">
      <alignment horizontal="left"/>
    </xf>
    <xf numFmtId="167" fontId="0" fillId="0" borderId="5" xfId="1" applyNumberFormat="1" applyFont="1" applyBorder="1" applyAlignment="1">
      <alignment horizontal="center"/>
    </xf>
    <xf numFmtId="0" fontId="0" fillId="0" borderId="3" xfId="0" applyFill="1" applyBorder="1"/>
    <xf numFmtId="166" fontId="0" fillId="0" borderId="3" xfId="1" applyFont="1" applyBorder="1" applyAlignment="1">
      <alignment horizontal="left"/>
    </xf>
    <xf numFmtId="167" fontId="0" fillId="0" borderId="3" xfId="1" applyNumberFormat="1" applyFont="1" applyBorder="1" applyAlignment="1">
      <alignment horizontal="center"/>
    </xf>
    <xf numFmtId="166" fontId="0" fillId="0" borderId="3" xfId="1" applyFont="1" applyFill="1" applyBorder="1"/>
    <xf numFmtId="0" fontId="0" fillId="0" borderId="3" xfId="1" applyNumberFormat="1" applyFont="1" applyBorder="1" applyAlignment="1">
      <alignment horizontal="center"/>
    </xf>
    <xf numFmtId="165" fontId="0" fillId="0" borderId="0" xfId="3" applyFont="1"/>
    <xf numFmtId="167" fontId="7" fillId="0" borderId="3" xfId="1" applyNumberFormat="1" applyFont="1" applyBorder="1"/>
    <xf numFmtId="167" fontId="5" fillId="7" borderId="1" xfId="1" quotePrefix="1" applyNumberFormat="1" applyFont="1" applyFill="1" applyBorder="1" applyAlignment="1" applyProtection="1">
      <alignment horizontal="center"/>
      <protection locked="0"/>
    </xf>
    <xf numFmtId="166" fontId="1" fillId="0" borderId="0" xfId="1" applyNumberFormat="1" applyFont="1" applyFill="1" applyBorder="1" applyAlignment="1"/>
    <xf numFmtId="169" fontId="0" fillId="0" borderId="0" xfId="1" applyNumberFormat="1" applyFont="1" applyFill="1" applyBorder="1" applyAlignment="1">
      <alignment horizontal="center"/>
    </xf>
    <xf numFmtId="0" fontId="0" fillId="0" borderId="0" xfId="0" applyFont="1" applyFill="1" applyBorder="1" applyAlignment="1">
      <alignment horizontal="center" wrapText="1"/>
    </xf>
    <xf numFmtId="0" fontId="5" fillId="0" borderId="5" xfId="0" applyFont="1" applyBorder="1"/>
    <xf numFmtId="0" fontId="37" fillId="0" borderId="0" xfId="0" applyFont="1"/>
    <xf numFmtId="166" fontId="5" fillId="0" borderId="0" xfId="1" applyFont="1" applyBorder="1" applyAlignment="1">
      <alignment horizontal="center"/>
    </xf>
    <xf numFmtId="0" fontId="0" fillId="0" borderId="1" xfId="1" applyNumberFormat="1" applyFont="1" applyBorder="1" applyAlignment="1">
      <alignment horizontal="center"/>
    </xf>
    <xf numFmtId="165" fontId="0" fillId="0" borderId="0" xfId="3" applyFont="1" applyAlignment="1">
      <alignment horizontal="center"/>
    </xf>
    <xf numFmtId="165" fontId="0" fillId="0" borderId="3" xfId="0" applyNumberFormat="1" applyBorder="1" applyAlignment="1">
      <alignment horizontal="center" vertical="center" wrapText="1"/>
    </xf>
    <xf numFmtId="0" fontId="5" fillId="0" borderId="13" xfId="0" applyFont="1" applyBorder="1"/>
    <xf numFmtId="165" fontId="5" fillId="0" borderId="11" xfId="3" applyFont="1" applyFill="1" applyBorder="1" applyAlignment="1">
      <alignment horizontal="center"/>
    </xf>
    <xf numFmtId="166" fontId="5" fillId="0" borderId="5" xfId="1" applyFont="1" applyBorder="1" applyAlignment="1">
      <alignment horizontal="center"/>
    </xf>
    <xf numFmtId="165" fontId="0" fillId="0" borderId="0" xfId="3" applyFont="1" applyAlignment="1">
      <alignment horizontal="center" wrapText="1"/>
    </xf>
    <xf numFmtId="0" fontId="0" fillId="0" borderId="0" xfId="1" applyNumberFormat="1" applyFont="1" applyBorder="1"/>
    <xf numFmtId="165" fontId="5" fillId="7" borderId="11" xfId="3" applyFont="1" applyFill="1" applyBorder="1" applyAlignment="1" applyProtection="1">
      <alignment horizontal="center"/>
      <protection locked="0"/>
    </xf>
    <xf numFmtId="165" fontId="5" fillId="7" borderId="12" xfId="3" applyFont="1" applyFill="1" applyBorder="1" applyAlignment="1" applyProtection="1">
      <alignment horizontal="center"/>
      <protection locked="0"/>
    </xf>
    <xf numFmtId="165" fontId="5" fillId="7" borderId="10" xfId="3" applyFont="1" applyFill="1" applyBorder="1" applyAlignment="1" applyProtection="1">
      <alignment horizontal="center"/>
      <protection locked="0"/>
    </xf>
    <xf numFmtId="0" fontId="5" fillId="0" borderId="0" xfId="0" applyFont="1" applyBorder="1" applyAlignment="1">
      <alignment horizontal="center" vertical="center"/>
    </xf>
    <xf numFmtId="0" fontId="5" fillId="0" borderId="9" xfId="0" applyFont="1" applyBorder="1" applyAlignment="1">
      <alignment horizontal="center"/>
    </xf>
    <xf numFmtId="0" fontId="5" fillId="0" borderId="7" xfId="0" applyFont="1" applyBorder="1" applyAlignment="1">
      <alignment horizontal="center"/>
    </xf>
    <xf numFmtId="0" fontId="5" fillId="0" borderId="10" xfId="1" applyNumberFormat="1" applyFont="1" applyBorder="1"/>
    <xf numFmtId="0" fontId="5" fillId="0" borderId="11" xfId="1" applyNumberFormat="1" applyFont="1" applyBorder="1"/>
    <xf numFmtId="0" fontId="0" fillId="0" borderId="11" xfId="0" applyFont="1" applyBorder="1"/>
    <xf numFmtId="0" fontId="0" fillId="0" borderId="12" xfId="0" applyFont="1" applyBorder="1"/>
    <xf numFmtId="0" fontId="5" fillId="0" borderId="11" xfId="0" applyFont="1" applyFill="1" applyBorder="1"/>
    <xf numFmtId="165" fontId="5" fillId="0" borderId="11" xfId="3" applyFont="1" applyBorder="1" applyAlignment="1">
      <alignment horizontal="center" vertical="center"/>
    </xf>
    <xf numFmtId="165" fontId="5" fillId="0" borderId="12" xfId="3" applyFont="1" applyBorder="1" applyAlignment="1">
      <alignment horizontal="center"/>
    </xf>
    <xf numFmtId="166" fontId="5" fillId="7" borderId="8" xfId="1" applyFont="1" applyFill="1" applyBorder="1" applyAlignment="1" applyProtection="1">
      <alignment horizontal="center"/>
      <protection locked="0"/>
    </xf>
    <xf numFmtId="169" fontId="5" fillId="7" borderId="8" xfId="1" applyNumberFormat="1" applyFont="1" applyFill="1" applyBorder="1" applyAlignment="1" applyProtection="1">
      <alignment horizontal="center"/>
      <protection locked="0"/>
    </xf>
    <xf numFmtId="169" fontId="5" fillId="0" borderId="11" xfId="1" applyNumberFormat="1" applyFont="1" applyFill="1" applyBorder="1"/>
    <xf numFmtId="170" fontId="5" fillId="0" borderId="12" xfId="3" applyNumberFormat="1" applyFont="1" applyFill="1" applyBorder="1" applyAlignment="1">
      <alignment horizontal="center"/>
    </xf>
    <xf numFmtId="165" fontId="5" fillId="0" borderId="0" xfId="0" applyNumberFormat="1" applyFont="1"/>
    <xf numFmtId="0" fontId="5" fillId="0" borderId="0" xfId="0" applyFont="1" applyFill="1"/>
    <xf numFmtId="0" fontId="5" fillId="14" borderId="16" xfId="0" applyFont="1" applyFill="1" applyBorder="1"/>
    <xf numFmtId="0" fontId="5" fillId="14" borderId="0" xfId="0" applyFont="1" applyFill="1" applyBorder="1"/>
    <xf numFmtId="0" fontId="0" fillId="14" borderId="11" xfId="0" applyFill="1" applyBorder="1"/>
    <xf numFmtId="0" fontId="5" fillId="14" borderId="8" xfId="0" applyFont="1" applyFill="1" applyBorder="1" applyAlignment="1">
      <alignment horizontal="center"/>
    </xf>
    <xf numFmtId="166" fontId="5" fillId="14" borderId="0" xfId="1" applyFont="1" applyFill="1" applyBorder="1" applyAlignment="1">
      <alignment horizontal="center"/>
    </xf>
    <xf numFmtId="170" fontId="5" fillId="14" borderId="11" xfId="3" applyNumberFormat="1" applyFont="1" applyFill="1" applyBorder="1" applyAlignment="1">
      <alignment horizontal="center"/>
    </xf>
    <xf numFmtId="165" fontId="5" fillId="14" borderId="8" xfId="3" applyFont="1" applyFill="1" applyBorder="1"/>
    <xf numFmtId="0" fontId="0" fillId="0" borderId="0" xfId="3" applyNumberFormat="1" applyFont="1" applyAlignment="1">
      <alignment horizontal="center"/>
    </xf>
    <xf numFmtId="167" fontId="5" fillId="0" borderId="0" xfId="1" applyNumberFormat="1" applyFont="1"/>
    <xf numFmtId="166" fontId="5" fillId="0" borderId="0" xfId="0" applyNumberFormat="1" applyFont="1"/>
    <xf numFmtId="170" fontId="5" fillId="14" borderId="8" xfId="3" applyNumberFormat="1" applyFont="1" applyFill="1" applyBorder="1"/>
    <xf numFmtId="0" fontId="5" fillId="0" borderId="8" xfId="3" applyNumberFormat="1" applyFont="1" applyBorder="1" applyAlignment="1">
      <alignment horizontal="center"/>
    </xf>
    <xf numFmtId="0" fontId="5" fillId="0" borderId="11" xfId="1" applyNumberFormat="1" applyFont="1" applyFill="1" applyBorder="1" applyAlignment="1">
      <alignment horizontal="center"/>
    </xf>
    <xf numFmtId="0" fontId="5" fillId="0" borderId="10" xfId="0" applyFont="1" applyFill="1" applyBorder="1"/>
    <xf numFmtId="166" fontId="5" fillId="0" borderId="13" xfId="1" applyFont="1" applyBorder="1" applyAlignment="1">
      <alignment horizontal="center"/>
    </xf>
    <xf numFmtId="165" fontId="5" fillId="0" borderId="10" xfId="3" applyNumberFormat="1" applyFont="1" applyFill="1" applyBorder="1" applyAlignment="1">
      <alignment horizontal="center"/>
    </xf>
    <xf numFmtId="0" fontId="5" fillId="14" borderId="14" xfId="0" applyFont="1" applyFill="1" applyBorder="1"/>
    <xf numFmtId="0" fontId="5" fillId="14" borderId="5" xfId="0" applyFont="1" applyFill="1" applyBorder="1"/>
    <xf numFmtId="0" fontId="0" fillId="14" borderId="12" xfId="0" applyFill="1" applyBorder="1"/>
    <xf numFmtId="0" fontId="5" fillId="14" borderId="9" xfId="0" applyFont="1" applyFill="1" applyBorder="1" applyAlignment="1">
      <alignment horizontal="center"/>
    </xf>
    <xf numFmtId="166" fontId="5" fillId="14" borderId="5" xfId="1" applyFont="1" applyFill="1" applyBorder="1" applyAlignment="1">
      <alignment horizontal="center"/>
    </xf>
    <xf numFmtId="170" fontId="5" fillId="14" borderId="12" xfId="3" applyNumberFormat="1" applyFont="1" applyFill="1" applyBorder="1" applyAlignment="1">
      <alignment horizontal="center"/>
    </xf>
    <xf numFmtId="0" fontId="14" fillId="0" borderId="0" xfId="0" applyFont="1"/>
    <xf numFmtId="2" fontId="15" fillId="0" borderId="0" xfId="0" applyNumberFormat="1" applyFont="1"/>
    <xf numFmtId="0" fontId="5" fillId="0" borderId="4" xfId="0" applyFont="1" applyBorder="1" applyAlignment="1">
      <alignment horizontal="center"/>
    </xf>
    <xf numFmtId="167" fontId="5" fillId="0" borderId="4" xfId="1" quotePrefix="1" applyNumberFormat="1" applyFont="1" applyBorder="1" applyAlignment="1" applyProtection="1">
      <alignment horizontal="center"/>
    </xf>
    <xf numFmtId="0" fontId="5" fillId="0" borderId="3" xfId="0" applyFont="1" applyBorder="1" applyAlignment="1">
      <alignment horizontal="center"/>
    </xf>
    <xf numFmtId="0" fontId="5" fillId="0" borderId="3" xfId="0" applyFont="1" applyBorder="1" applyAlignment="1">
      <alignment horizontal="center" vertical="center"/>
    </xf>
    <xf numFmtId="0" fontId="3" fillId="0" borderId="0" xfId="0" applyFont="1" applyAlignment="1"/>
    <xf numFmtId="0" fontId="5" fillId="0" borderId="4" xfId="0" applyFont="1" applyBorder="1"/>
    <xf numFmtId="165" fontId="5" fillId="0" borderId="4" xfId="3" quotePrefix="1" applyFont="1" applyBorder="1" applyAlignment="1">
      <alignment horizontal="center"/>
    </xf>
    <xf numFmtId="165" fontId="5" fillId="7" borderId="1" xfId="3" applyFont="1" applyFill="1" applyBorder="1" applyProtection="1">
      <protection locked="0"/>
    </xf>
    <xf numFmtId="170" fontId="5" fillId="0" borderId="1" xfId="3" quotePrefix="1" applyNumberFormat="1" applyFont="1" applyBorder="1" applyAlignment="1">
      <alignment horizontal="center"/>
    </xf>
    <xf numFmtId="0" fontId="5" fillId="0" borderId="0" xfId="0" quotePrefix="1" applyFont="1"/>
    <xf numFmtId="0" fontId="36" fillId="0" borderId="0" xfId="0" quotePrefix="1" applyFont="1"/>
    <xf numFmtId="165" fontId="5" fillId="14" borderId="9" xfId="3" applyFont="1" applyFill="1" applyBorder="1"/>
    <xf numFmtId="164" fontId="5" fillId="0" borderId="11" xfId="1" applyNumberFormat="1" applyFont="1" applyFill="1" applyBorder="1"/>
    <xf numFmtId="164" fontId="5" fillId="0" borderId="10" xfId="3" applyNumberFormat="1" applyFont="1" applyFill="1" applyBorder="1"/>
    <xf numFmtId="0" fontId="5" fillId="0" borderId="12" xfId="1" applyNumberFormat="1" applyFont="1" applyBorder="1" applyAlignment="1">
      <alignment horizontal="center"/>
    </xf>
    <xf numFmtId="0" fontId="5" fillId="0" borderId="4" xfId="1" quotePrefix="1" applyNumberFormat="1" applyFont="1" applyBorder="1" applyAlignment="1">
      <alignment horizontal="center"/>
    </xf>
    <xf numFmtId="0" fontId="5" fillId="0" borderId="4" xfId="1" quotePrefix="1" applyNumberFormat="1" applyFont="1" applyBorder="1" applyAlignment="1" applyProtection="1">
      <alignment horizontal="center"/>
    </xf>
    <xf numFmtId="0" fontId="5" fillId="0" borderId="12" xfId="0" applyFont="1" applyFill="1" applyBorder="1"/>
    <xf numFmtId="167" fontId="0" fillId="0" borderId="0" xfId="1" applyNumberFormat="1" applyFont="1" applyFill="1" applyBorder="1" applyAlignment="1">
      <alignment horizontal="center"/>
    </xf>
    <xf numFmtId="170" fontId="22" fillId="8" borderId="0" xfId="3" applyNumberFormat="1" applyFont="1" applyFill="1" applyBorder="1"/>
    <xf numFmtId="170" fontId="5" fillId="0" borderId="0" xfId="0" applyNumberFormat="1" applyFont="1"/>
    <xf numFmtId="166" fontId="5" fillId="14" borderId="8" xfId="1" applyNumberFormat="1" applyFont="1" applyFill="1" applyBorder="1"/>
    <xf numFmtId="4" fontId="16" fillId="0" borderId="0" xfId="0" applyNumberFormat="1" applyFont="1" applyBorder="1"/>
    <xf numFmtId="4" fontId="16" fillId="0" borderId="0" xfId="0" applyNumberFormat="1" applyFont="1" applyFill="1" applyBorder="1"/>
    <xf numFmtId="0" fontId="16" fillId="0" borderId="0" xfId="0" applyFont="1" applyBorder="1" applyAlignment="1">
      <alignment horizontal="center" wrapText="1"/>
    </xf>
    <xf numFmtId="0" fontId="15" fillId="0" borderId="5" xfId="0" applyFont="1" applyBorder="1"/>
    <xf numFmtId="3" fontId="15" fillId="0" borderId="5" xfId="0" applyNumberFormat="1" applyFont="1" applyBorder="1"/>
    <xf numFmtId="0" fontId="15" fillId="0" borderId="0" xfId="0" applyFont="1"/>
    <xf numFmtId="3" fontId="15" fillId="0" borderId="0" xfId="0" applyNumberFormat="1" applyFont="1"/>
    <xf numFmtId="4" fontId="15" fillId="0" borderId="0" xfId="0" applyNumberFormat="1" applyFont="1" applyAlignment="1">
      <alignment horizontal="right"/>
    </xf>
    <xf numFmtId="0" fontId="18" fillId="0" borderId="5" xfId="0" applyFont="1" applyBorder="1"/>
    <xf numFmtId="4" fontId="18" fillId="0" borderId="5" xfId="0" applyNumberFormat="1" applyFont="1" applyBorder="1" applyAlignment="1">
      <alignment horizontal="right"/>
    </xf>
    <xf numFmtId="0" fontId="38" fillId="0" borderId="0" xfId="0" applyFont="1"/>
    <xf numFmtId="175" fontId="5" fillId="0" borderId="11" xfId="3" applyNumberFormat="1" applyFont="1" applyFill="1" applyBorder="1"/>
    <xf numFmtId="165" fontId="5" fillId="0" borderId="12" xfId="3" applyFont="1" applyFill="1" applyBorder="1" applyAlignment="1">
      <alignment horizontal="center"/>
    </xf>
    <xf numFmtId="166" fontId="5" fillId="0" borderId="3" xfId="1" applyFont="1" applyBorder="1" applyAlignment="1">
      <alignment horizontal="center"/>
    </xf>
    <xf numFmtId="165" fontId="5" fillId="0" borderId="1" xfId="3" applyNumberFormat="1" applyFont="1" applyFill="1" applyBorder="1" applyAlignment="1">
      <alignment horizontal="center"/>
    </xf>
    <xf numFmtId="165" fontId="5" fillId="7" borderId="4" xfId="3" applyFont="1" applyFill="1" applyBorder="1" applyAlignment="1" applyProtection="1">
      <alignment horizontal="center"/>
      <protection locked="0"/>
    </xf>
    <xf numFmtId="170" fontId="5" fillId="7" borderId="9" xfId="3" applyNumberFormat="1" applyFont="1" applyFill="1" applyBorder="1" applyAlignment="1" applyProtection="1">
      <alignment horizontal="center"/>
      <protection locked="0"/>
    </xf>
    <xf numFmtId="165" fontId="5" fillId="0" borderId="12" xfId="3" applyNumberFormat="1" applyFont="1" applyFill="1" applyBorder="1" applyAlignment="1">
      <alignment horizontal="center"/>
    </xf>
    <xf numFmtId="165" fontId="5" fillId="7" borderId="9" xfId="3" applyNumberFormat="1" applyFont="1" applyFill="1" applyBorder="1" applyAlignment="1" applyProtection="1">
      <alignment horizontal="center"/>
      <protection locked="0"/>
    </xf>
    <xf numFmtId="165" fontId="5" fillId="0" borderId="10" xfId="3" applyFont="1" applyFill="1" applyBorder="1" applyAlignment="1">
      <alignment horizontal="center"/>
    </xf>
    <xf numFmtId="0" fontId="5" fillId="14" borderId="2" xfId="0" applyFont="1" applyFill="1" applyBorder="1"/>
    <xf numFmtId="0" fontId="5" fillId="14" borderId="3" xfId="0" applyFont="1" applyFill="1" applyBorder="1"/>
    <xf numFmtId="0" fontId="0" fillId="14" borderId="1" xfId="0" applyFill="1" applyBorder="1"/>
    <xf numFmtId="0" fontId="5" fillId="14" borderId="4" xfId="0" applyFont="1" applyFill="1" applyBorder="1" applyAlignment="1">
      <alignment horizontal="center"/>
    </xf>
    <xf numFmtId="166" fontId="5" fillId="14" borderId="3" xfId="1" applyFont="1" applyFill="1" applyBorder="1" applyAlignment="1">
      <alignment horizontal="center"/>
    </xf>
    <xf numFmtId="170" fontId="5" fillId="14" borderId="1" xfId="3" applyNumberFormat="1" applyFont="1" applyFill="1" applyBorder="1" applyAlignment="1">
      <alignment horizontal="center"/>
    </xf>
    <xf numFmtId="165" fontId="5" fillId="14" borderId="4" xfId="3" applyFont="1" applyFill="1" applyBorder="1"/>
    <xf numFmtId="167" fontId="5" fillId="0" borderId="0" xfId="0" applyNumberFormat="1" applyFont="1"/>
    <xf numFmtId="167" fontId="5" fillId="0" borderId="0" xfId="0" applyNumberFormat="1" applyFont="1" applyAlignment="1">
      <alignment horizontal="center"/>
    </xf>
    <xf numFmtId="167" fontId="5" fillId="0" borderId="0" xfId="1" applyNumberFormat="1" applyFont="1" applyAlignment="1">
      <alignment horizontal="center"/>
    </xf>
    <xf numFmtId="165" fontId="5" fillId="14" borderId="11" xfId="3" applyFont="1" applyFill="1" applyBorder="1" applyAlignment="1">
      <alignment horizontal="center"/>
    </xf>
    <xf numFmtId="14" fontId="0" fillId="0" borderId="3" xfId="0" quotePrefix="1" applyNumberFormat="1" applyBorder="1"/>
    <xf numFmtId="165" fontId="5" fillId="0" borderId="1" xfId="3" applyFont="1" applyBorder="1" applyAlignment="1">
      <alignment horizontal="center"/>
    </xf>
    <xf numFmtId="165" fontId="5" fillId="7" borderId="7" xfId="3" applyNumberFormat="1" applyFont="1" applyFill="1" applyBorder="1" applyAlignment="1" applyProtection="1">
      <alignment horizontal="center"/>
      <protection locked="0"/>
    </xf>
    <xf numFmtId="165" fontId="22" fillId="8" borderId="0" xfId="3" applyFont="1" applyFill="1" applyBorder="1"/>
    <xf numFmtId="165" fontId="23" fillId="8" borderId="0" xfId="3" applyFont="1" applyFill="1" applyBorder="1"/>
    <xf numFmtId="0" fontId="41" fillId="0" borderId="0" xfId="0" applyFont="1" applyAlignment="1" applyProtection="1">
      <alignment horizontal="left"/>
      <protection locked="0"/>
    </xf>
    <xf numFmtId="9" fontId="42" fillId="0" borderId="0" xfId="0" applyNumberFormat="1" applyFont="1" applyAlignment="1">
      <alignment horizontal="left"/>
    </xf>
    <xf numFmtId="0" fontId="26" fillId="0" borderId="0" xfId="0" applyFont="1"/>
    <xf numFmtId="0" fontId="14" fillId="0" borderId="0" xfId="0" applyFont="1" applyAlignment="1" applyProtection="1">
      <alignment horizontal="left"/>
      <protection locked="0"/>
    </xf>
    <xf numFmtId="173" fontId="0" fillId="0" borderId="0" xfId="0" applyNumberFormat="1"/>
    <xf numFmtId="174" fontId="26" fillId="0" borderId="0" xfId="0" applyNumberFormat="1" applyFont="1"/>
    <xf numFmtId="2" fontId="22" fillId="5" borderId="9" xfId="0" applyNumberFormat="1" applyFont="1" applyFill="1" applyBorder="1"/>
    <xf numFmtId="3" fontId="22" fillId="5" borderId="11" xfId="0" applyNumberFormat="1" applyFont="1" applyFill="1" applyBorder="1"/>
    <xf numFmtId="165" fontId="22" fillId="8" borderId="8" xfId="3" applyFont="1" applyFill="1" applyBorder="1"/>
    <xf numFmtId="3" fontId="23" fillId="5" borderId="11" xfId="0" applyNumberFormat="1" applyFont="1" applyFill="1" applyBorder="1"/>
    <xf numFmtId="3" fontId="22" fillId="5" borderId="12" xfId="0" applyNumberFormat="1" applyFont="1" applyFill="1" applyBorder="1"/>
    <xf numFmtId="165" fontId="22" fillId="8" borderId="5" xfId="3" applyFont="1" applyFill="1" applyBorder="1"/>
    <xf numFmtId="165" fontId="22" fillId="8" borderId="9" xfId="3" applyFont="1" applyFill="1" applyBorder="1"/>
    <xf numFmtId="165" fontId="22" fillId="5" borderId="5" xfId="3" applyFont="1" applyFill="1" applyBorder="1"/>
    <xf numFmtId="165" fontId="22" fillId="5" borderId="9" xfId="3" applyFont="1" applyFill="1" applyBorder="1"/>
    <xf numFmtId="0" fontId="0" fillId="0" borderId="16" xfId="0" applyFill="1" applyBorder="1"/>
    <xf numFmtId="0" fontId="0" fillId="0" borderId="0" xfId="0" applyBorder="1" applyAlignment="1">
      <alignment horizontal="left"/>
    </xf>
    <xf numFmtId="166" fontId="0" fillId="0" borderId="0" xfId="1" applyFont="1" applyBorder="1" applyAlignment="1">
      <alignment horizontal="left"/>
    </xf>
    <xf numFmtId="167" fontId="0" fillId="0" borderId="0" xfId="1" applyNumberFormat="1" applyFont="1" applyBorder="1" applyAlignment="1">
      <alignment horizontal="center"/>
    </xf>
    <xf numFmtId="166" fontId="0" fillId="0" borderId="8" xfId="1" applyFont="1" applyFill="1" applyBorder="1"/>
    <xf numFmtId="0" fontId="14" fillId="0" borderId="16" xfId="0" applyFont="1" applyFill="1" applyBorder="1"/>
    <xf numFmtId="0" fontId="14" fillId="0" borderId="0" xfId="0" applyFont="1" applyFill="1" applyBorder="1"/>
    <xf numFmtId="0" fontId="0" fillId="0" borderId="14" xfId="0" applyFill="1" applyBorder="1"/>
    <xf numFmtId="166" fontId="0" fillId="0" borderId="9" xfId="1" applyFont="1" applyFill="1" applyBorder="1"/>
    <xf numFmtId="166" fontId="0" fillId="0" borderId="4" xfId="1" applyFont="1" applyFill="1" applyBorder="1"/>
    <xf numFmtId="0" fontId="2" fillId="0" borderId="2" xfId="0" applyFont="1" applyBorder="1"/>
    <xf numFmtId="0" fontId="12" fillId="0" borderId="3" xfId="0" applyFont="1" applyBorder="1" applyAlignment="1">
      <alignment vertical="center"/>
    </xf>
    <xf numFmtId="0" fontId="2" fillId="0" borderId="3" xfId="0" applyFont="1" applyBorder="1" applyAlignment="1">
      <alignment horizontal="center" wrapText="1"/>
    </xf>
    <xf numFmtId="0" fontId="2" fillId="0" borderId="3" xfId="0" applyFont="1" applyBorder="1" applyAlignment="1">
      <alignment horizontal="center"/>
    </xf>
    <xf numFmtId="166" fontId="2" fillId="0" borderId="4" xfId="1" applyFont="1" applyBorder="1" applyAlignment="1">
      <alignment horizontal="center"/>
    </xf>
    <xf numFmtId="0" fontId="0" fillId="0" borderId="15" xfId="0" applyBorder="1"/>
    <xf numFmtId="0" fontId="2" fillId="0" borderId="29" xfId="0" applyFont="1" applyBorder="1"/>
    <xf numFmtId="0" fontId="12" fillId="0" borderId="3" xfId="0" applyFont="1" applyBorder="1"/>
    <xf numFmtId="14" fontId="0" fillId="0" borderId="14" xfId="0" quotePrefix="1" applyNumberFormat="1" applyBorder="1"/>
    <xf numFmtId="14" fontId="0" fillId="0" borderId="16" xfId="0" quotePrefix="1" applyNumberFormat="1" applyBorder="1"/>
    <xf numFmtId="0" fontId="2" fillId="0" borderId="15" xfId="0" applyFont="1" applyBorder="1" applyAlignment="1">
      <alignment horizontal="center"/>
    </xf>
    <xf numFmtId="0" fontId="2" fillId="0" borderId="2" xfId="0" applyFont="1" applyFill="1" applyBorder="1"/>
    <xf numFmtId="0" fontId="40" fillId="0" borderId="15" xfId="0" applyFont="1" applyBorder="1"/>
    <xf numFmtId="167" fontId="2" fillId="0" borderId="30" xfId="1" applyNumberFormat="1" applyFont="1" applyFill="1" applyBorder="1"/>
    <xf numFmtId="0" fontId="40" fillId="0" borderId="2" xfId="0" applyFont="1" applyBorder="1" applyAlignment="1">
      <alignment vertical="center"/>
    </xf>
    <xf numFmtId="0" fontId="40" fillId="0" borderId="3" xfId="0" applyFont="1" applyBorder="1" applyAlignment="1">
      <alignment vertical="center"/>
    </xf>
    <xf numFmtId="0" fontId="2" fillId="0" borderId="3" xfId="0" applyFont="1" applyBorder="1"/>
    <xf numFmtId="0" fontId="2" fillId="0" borderId="3" xfId="0" applyFont="1" applyFill="1" applyBorder="1"/>
    <xf numFmtId="166" fontId="2" fillId="0" borderId="3" xfId="1" applyFont="1" applyBorder="1" applyAlignment="1">
      <alignment horizontal="left"/>
    </xf>
    <xf numFmtId="167" fontId="2" fillId="0" borderId="3" xfId="1" applyNumberFormat="1" applyFont="1" applyBorder="1" applyAlignment="1">
      <alignment horizontal="center"/>
    </xf>
    <xf numFmtId="166" fontId="2" fillId="0" borderId="4" xfId="1" applyFont="1" applyFill="1" applyBorder="1"/>
    <xf numFmtId="0" fontId="2" fillId="0" borderId="2" xfId="0" applyFont="1" applyBorder="1" applyAlignment="1">
      <alignment horizontal="left"/>
    </xf>
    <xf numFmtId="167" fontId="2" fillId="0" borderId="30" xfId="0" applyNumberFormat="1" applyFont="1" applyBorder="1"/>
    <xf numFmtId="0" fontId="2" fillId="0" borderId="4" xfId="0" applyFont="1" applyBorder="1" applyAlignment="1">
      <alignment horizontal="center"/>
    </xf>
    <xf numFmtId="167" fontId="0" fillId="0" borderId="8" xfId="1" applyNumberFormat="1" applyFont="1" applyBorder="1"/>
    <xf numFmtId="0" fontId="0" fillId="0" borderId="14" xfId="0" applyBorder="1"/>
    <xf numFmtId="0" fontId="0" fillId="0" borderId="29" xfId="0" applyBorder="1"/>
    <xf numFmtId="167" fontId="0" fillId="0" borderId="30" xfId="0" applyNumberFormat="1" applyBorder="1"/>
    <xf numFmtId="0" fontId="0" fillId="3" borderId="6" xfId="0" applyFill="1" applyBorder="1"/>
    <xf numFmtId="0" fontId="0" fillId="3" borderId="13" xfId="0" applyFill="1" applyBorder="1"/>
    <xf numFmtId="0" fontId="0" fillId="3" borderId="7" xfId="0" applyFill="1" applyBorder="1" applyAlignment="1">
      <alignment horizontal="center"/>
    </xf>
    <xf numFmtId="0" fontId="0" fillId="3" borderId="8" xfId="0" applyFill="1" applyBorder="1" applyAlignment="1">
      <alignment horizontal="center"/>
    </xf>
    <xf numFmtId="1" fontId="7" fillId="3" borderId="8" xfId="0" applyNumberFormat="1" applyFont="1" applyFill="1" applyBorder="1" applyAlignment="1">
      <alignment horizontal="center"/>
    </xf>
    <xf numFmtId="0" fontId="0" fillId="3" borderId="14" xfId="0" applyFill="1" applyBorder="1"/>
    <xf numFmtId="0" fontId="0" fillId="3" borderId="5" xfId="0" applyFill="1" applyBorder="1"/>
    <xf numFmtId="0" fontId="0" fillId="3" borderId="9" xfId="0" applyFill="1" applyBorder="1" applyAlignment="1">
      <alignment horizontal="center"/>
    </xf>
    <xf numFmtId="0" fontId="43" fillId="0" borderId="0" xfId="0" applyFont="1" applyAlignment="1">
      <alignment vertical="center"/>
    </xf>
    <xf numFmtId="0" fontId="44" fillId="0" borderId="0" xfId="0" applyFont="1"/>
    <xf numFmtId="0" fontId="12" fillId="0" borderId="0" xfId="0" applyFont="1" applyBorder="1"/>
    <xf numFmtId="170" fontId="1" fillId="0" borderId="0" xfId="3" applyNumberFormat="1" applyFont="1" applyBorder="1" applyAlignment="1">
      <alignment horizontal="center"/>
    </xf>
    <xf numFmtId="167" fontId="0" fillId="0" borderId="0" xfId="1" applyNumberFormat="1" applyFont="1" applyFill="1" applyBorder="1"/>
    <xf numFmtId="0" fontId="0" fillId="0" borderId="0" xfId="1" applyNumberFormat="1" applyFont="1" applyBorder="1" applyAlignment="1">
      <alignment horizontal="center"/>
    </xf>
    <xf numFmtId="166" fontId="5" fillId="0" borderId="11" xfId="1" applyNumberFormat="1" applyFont="1" applyFill="1" applyBorder="1" applyAlignment="1">
      <alignment horizontal="center"/>
    </xf>
    <xf numFmtId="165" fontId="5" fillId="0" borderId="11" xfId="1" applyNumberFormat="1" applyFont="1" applyFill="1" applyBorder="1"/>
    <xf numFmtId="165" fontId="5" fillId="0" borderId="10" xfId="3" applyNumberFormat="1" applyFont="1" applyFill="1" applyBorder="1"/>
    <xf numFmtId="0" fontId="0" fillId="0" borderId="0" xfId="0" applyAlignment="1"/>
    <xf numFmtId="164" fontId="5" fillId="0" borderId="10" xfId="3" applyNumberFormat="1" applyFont="1" applyFill="1" applyBorder="1" applyAlignment="1">
      <alignment horizontal="center"/>
    </xf>
    <xf numFmtId="165" fontId="5" fillId="7" borderId="8" xfId="1" applyNumberFormat="1" applyFont="1" applyFill="1" applyBorder="1" applyAlignment="1" applyProtection="1">
      <alignment horizontal="center"/>
      <protection locked="0"/>
    </xf>
    <xf numFmtId="0" fontId="0" fillId="0" borderId="12" xfId="0" applyFill="1" applyBorder="1"/>
    <xf numFmtId="170" fontId="2" fillId="0" borderId="15" xfId="3" applyNumberFormat="1" applyFont="1" applyBorder="1"/>
    <xf numFmtId="0" fontId="0" fillId="0" borderId="5" xfId="0" applyBorder="1" applyAlignment="1">
      <alignment horizontal="center"/>
    </xf>
    <xf numFmtId="167" fontId="0" fillId="0" borderId="5" xfId="0" applyNumberFormat="1" applyBorder="1" applyAlignment="1">
      <alignment horizontal="center"/>
    </xf>
    <xf numFmtId="167" fontId="0" fillId="0" borderId="5" xfId="1" applyNumberFormat="1" applyFont="1" applyFill="1" applyBorder="1"/>
    <xf numFmtId="0" fontId="40" fillId="0" borderId="16" xfId="0" applyFont="1" applyBorder="1" applyAlignment="1">
      <alignment vertical="center"/>
    </xf>
    <xf numFmtId="0" fontId="2" fillId="0" borderId="0" xfId="0" applyFont="1" applyBorder="1" applyAlignment="1">
      <alignment horizontal="center" wrapText="1"/>
    </xf>
    <xf numFmtId="0" fontId="2" fillId="0" borderId="0" xfId="0" applyFont="1" applyBorder="1" applyAlignment="1">
      <alignment horizontal="center"/>
    </xf>
    <xf numFmtId="0" fontId="0" fillId="0" borderId="16" xfId="0" applyFont="1" applyBorder="1"/>
    <xf numFmtId="9" fontId="0" fillId="0" borderId="0" xfId="0" applyNumberFormat="1" applyBorder="1"/>
    <xf numFmtId="167" fontId="1" fillId="0" borderId="0" xfId="1" applyNumberFormat="1" applyFont="1" applyBorder="1" applyAlignment="1">
      <alignment horizontal="center"/>
    </xf>
    <xf numFmtId="166" fontId="1" fillId="0" borderId="0" xfId="1" applyFont="1" applyBorder="1" applyAlignment="1">
      <alignment wrapText="1"/>
    </xf>
    <xf numFmtId="0" fontId="0" fillId="0" borderId="0" xfId="0" applyFont="1" applyBorder="1" applyAlignment="1">
      <alignment horizontal="center"/>
    </xf>
    <xf numFmtId="0" fontId="40" fillId="0" borderId="16" xfId="0" applyFont="1" applyBorder="1"/>
    <xf numFmtId="167" fontId="0" fillId="0" borderId="0" xfId="0" applyNumberFormat="1" applyBorder="1"/>
    <xf numFmtId="0" fontId="0" fillId="0" borderId="16" xfId="0" applyFont="1" applyBorder="1" applyAlignment="1">
      <alignment vertical="center"/>
    </xf>
    <xf numFmtId="0" fontId="12" fillId="0" borderId="16" xfId="0" applyFont="1" applyFill="1" applyBorder="1"/>
    <xf numFmtId="0" fontId="12" fillId="0" borderId="16" xfId="0" applyFont="1" applyBorder="1"/>
    <xf numFmtId="167" fontId="12" fillId="0" borderId="0" xfId="0" applyNumberFormat="1" applyFont="1" applyFill="1" applyBorder="1"/>
    <xf numFmtId="166" fontId="12" fillId="0" borderId="0" xfId="1" applyFont="1" applyBorder="1" applyAlignment="1">
      <alignment horizontal="center"/>
    </xf>
    <xf numFmtId="169" fontId="0" fillId="0" borderId="0" xfId="0" applyNumberFormat="1" applyFill="1" applyBorder="1" applyAlignment="1">
      <alignment horizontal="center"/>
    </xf>
    <xf numFmtId="164" fontId="0" fillId="0" borderId="0" xfId="1" applyNumberFormat="1" applyFont="1" applyBorder="1" applyAlignment="1">
      <alignment horizontal="center"/>
    </xf>
    <xf numFmtId="168" fontId="0" fillId="0" borderId="0" xfId="0" applyNumberFormat="1" applyBorder="1"/>
    <xf numFmtId="165" fontId="0" fillId="0" borderId="0" xfId="1" applyNumberFormat="1" applyFont="1" applyBorder="1" applyAlignment="1">
      <alignment horizontal="center"/>
    </xf>
    <xf numFmtId="165" fontId="0" fillId="0" borderId="0" xfId="3" applyFont="1" applyBorder="1"/>
    <xf numFmtId="0" fontId="1" fillId="0" borderId="0" xfId="1" applyNumberFormat="1" applyFont="1" applyBorder="1" applyAlignment="1">
      <alignment horizontal="center"/>
    </xf>
    <xf numFmtId="164" fontId="12" fillId="0" borderId="0" xfId="1" applyNumberFormat="1" applyFont="1" applyBorder="1" applyAlignment="1">
      <alignment horizontal="center"/>
    </xf>
    <xf numFmtId="169" fontId="39" fillId="0" borderId="0" xfId="0" applyNumberFormat="1" applyFont="1" applyFill="1" applyBorder="1" applyAlignment="1">
      <alignment horizontal="center"/>
    </xf>
    <xf numFmtId="166" fontId="39" fillId="0" borderId="0" xfId="1" applyFont="1" applyBorder="1" applyAlignment="1">
      <alignment horizontal="center"/>
    </xf>
    <xf numFmtId="165" fontId="0" fillId="0" borderId="0" xfId="3" applyFont="1" applyFill="1" applyBorder="1"/>
    <xf numFmtId="165" fontId="12" fillId="0" borderId="0" xfId="3" applyFont="1" applyBorder="1"/>
    <xf numFmtId="0" fontId="12" fillId="0" borderId="0" xfId="1" applyNumberFormat="1" applyFont="1" applyBorder="1" applyAlignment="1">
      <alignment horizontal="center"/>
    </xf>
    <xf numFmtId="0" fontId="12" fillId="0" borderId="0" xfId="0" applyFont="1" applyBorder="1" applyAlignment="1">
      <alignment horizontal="center"/>
    </xf>
    <xf numFmtId="167" fontId="0" fillId="0" borderId="0" xfId="0" applyNumberFormat="1" applyFont="1" applyBorder="1"/>
    <xf numFmtId="166" fontId="1" fillId="0" borderId="0" xfId="1" applyFont="1" applyBorder="1" applyAlignment="1">
      <alignment horizontal="center"/>
    </xf>
    <xf numFmtId="166" fontId="0" fillId="0" borderId="0" xfId="0" applyNumberFormat="1" applyBorder="1" applyAlignment="1">
      <alignment horizontal="center"/>
    </xf>
    <xf numFmtId="0" fontId="0" fillId="0" borderId="14" xfId="0" applyFont="1" applyBorder="1"/>
    <xf numFmtId="0" fontId="2" fillId="0" borderId="16" xfId="0" applyFont="1" applyBorder="1"/>
    <xf numFmtId="170" fontId="2" fillId="0" borderId="0" xfId="3" applyNumberFormat="1" applyFont="1" applyBorder="1"/>
    <xf numFmtId="0" fontId="3" fillId="0" borderId="9" xfId="0" applyFont="1" applyBorder="1" applyAlignment="1">
      <alignment horizontal="center"/>
    </xf>
    <xf numFmtId="0" fontId="3" fillId="0" borderId="10" xfId="0" applyFont="1" applyFill="1" applyBorder="1" applyAlignment="1"/>
    <xf numFmtId="0" fontId="3" fillId="0" borderId="11" xfId="0" applyFont="1" applyFill="1" applyBorder="1" applyAlignment="1"/>
    <xf numFmtId="0" fontId="3" fillId="0" borderId="12" xfId="0" applyFont="1" applyFill="1" applyBorder="1" applyAlignment="1"/>
    <xf numFmtId="167" fontId="3" fillId="0" borderId="10" xfId="1" quotePrefix="1" applyNumberFormat="1" applyFont="1" applyFill="1" applyBorder="1" applyAlignment="1" applyProtection="1">
      <alignment horizontal="center" wrapText="1"/>
    </xf>
    <xf numFmtId="167" fontId="0" fillId="0" borderId="11" xfId="1" applyNumberFormat="1" applyFont="1" applyFill="1" applyBorder="1"/>
    <xf numFmtId="167" fontId="0" fillId="0" borderId="11" xfId="0" applyNumberFormat="1" applyFill="1" applyBorder="1"/>
    <xf numFmtId="166" fontId="2" fillId="0" borderId="11" xfId="1" applyFont="1" applyFill="1" applyBorder="1" applyAlignment="1">
      <alignment horizontal="center"/>
    </xf>
    <xf numFmtId="167" fontId="12" fillId="0" borderId="11" xfId="0" applyNumberFormat="1" applyFont="1" applyFill="1" applyBorder="1"/>
    <xf numFmtId="167" fontId="5" fillId="0" borderId="12" xfId="1" quotePrefix="1" applyNumberFormat="1" applyFont="1" applyFill="1" applyBorder="1" applyAlignment="1" applyProtection="1">
      <alignment horizontal="center"/>
    </xf>
    <xf numFmtId="170" fontId="2" fillId="0" borderId="11" xfId="3" applyNumberFormat="1" applyFont="1" applyFill="1" applyBorder="1"/>
    <xf numFmtId="170" fontId="2" fillId="0" borderId="31" xfId="3" applyNumberFormat="1" applyFont="1" applyFill="1" applyBorder="1"/>
    <xf numFmtId="0" fontId="46" fillId="3" borderId="0" xfId="0" applyFont="1" applyFill="1" applyAlignment="1">
      <alignment horizontal="left" wrapText="1"/>
    </xf>
    <xf numFmtId="0" fontId="3" fillId="3" borderId="0" xfId="0" applyFont="1" applyFill="1"/>
    <xf numFmtId="0" fontId="3" fillId="3" borderId="0" xfId="0" applyFont="1" applyFill="1" applyAlignment="1">
      <alignment horizontal="center" wrapText="1"/>
    </xf>
    <xf numFmtId="0" fontId="3" fillId="3" borderId="8" xfId="0" applyFont="1" applyFill="1" applyBorder="1" applyAlignment="1">
      <alignment horizontal="center" vertical="center"/>
    </xf>
    <xf numFmtId="0" fontId="5" fillId="3" borderId="0" xfId="1" applyNumberFormat="1" applyFont="1" applyFill="1" applyBorder="1"/>
    <xf numFmtId="9" fontId="0" fillId="3" borderId="0" xfId="0" applyNumberFormat="1" applyFill="1" applyAlignment="1">
      <alignment horizontal="center"/>
    </xf>
    <xf numFmtId="167" fontId="5" fillId="3" borderId="0" xfId="1" applyNumberFormat="1" applyFont="1" applyFill="1"/>
    <xf numFmtId="166" fontId="5" fillId="3" borderId="0" xfId="1" quotePrefix="1" applyNumberFormat="1" applyFont="1" applyFill="1" applyBorder="1" applyAlignment="1">
      <alignment horizontal="center"/>
    </xf>
    <xf numFmtId="170" fontId="5" fillId="3" borderId="8" xfId="3" applyNumberFormat="1" applyFont="1" applyFill="1" applyBorder="1" applyAlignment="1">
      <alignment horizontal="center"/>
    </xf>
    <xf numFmtId="0" fontId="5" fillId="3" borderId="0" xfId="0" applyFont="1" applyFill="1"/>
    <xf numFmtId="167" fontId="5" fillId="3" borderId="0" xfId="0" applyNumberFormat="1" applyFont="1" applyFill="1"/>
    <xf numFmtId="166" fontId="5" fillId="3" borderId="8" xfId="1" applyFont="1" applyFill="1" applyBorder="1" applyAlignment="1">
      <alignment horizontal="center"/>
    </xf>
    <xf numFmtId="0" fontId="45" fillId="3" borderId="0" xfId="1" applyNumberFormat="1" applyFont="1" applyFill="1"/>
    <xf numFmtId="0" fontId="5" fillId="3" borderId="0" xfId="0" applyFont="1" applyFill="1" applyAlignment="1">
      <alignment horizontal="center"/>
    </xf>
    <xf numFmtId="0" fontId="3" fillId="3" borderId="0" xfId="0" applyFont="1" applyFill="1" applyAlignment="1">
      <alignment horizontal="center"/>
    </xf>
    <xf numFmtId="14" fontId="5" fillId="3" borderId="0" xfId="1" applyNumberFormat="1" applyFont="1" applyFill="1"/>
    <xf numFmtId="167" fontId="5" fillId="3" borderId="8" xfId="1" quotePrefix="1" applyNumberFormat="1" applyFont="1" applyFill="1" applyBorder="1" applyAlignment="1" applyProtection="1">
      <alignment horizontal="center"/>
    </xf>
    <xf numFmtId="0" fontId="5" fillId="3" borderId="0" xfId="1" applyNumberFormat="1" applyFont="1" applyFill="1"/>
    <xf numFmtId="0" fontId="3" fillId="3" borderId="3" xfId="0" applyFont="1" applyFill="1" applyBorder="1"/>
    <xf numFmtId="0" fontId="5" fillId="3" borderId="3" xfId="0" applyFont="1" applyFill="1" applyBorder="1"/>
    <xf numFmtId="167" fontId="5" fillId="3" borderId="3" xfId="0" applyNumberFormat="1" applyFont="1" applyFill="1" applyBorder="1"/>
    <xf numFmtId="170" fontId="3" fillId="3" borderId="4" xfId="3" applyNumberFormat="1" applyFont="1" applyFill="1" applyBorder="1" applyAlignment="1">
      <alignment horizontal="center"/>
    </xf>
    <xf numFmtId="0" fontId="28" fillId="0" borderId="0" xfId="0" applyFont="1" applyAlignment="1">
      <alignmen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76" fontId="0" fillId="0" borderId="0" xfId="0" applyNumberFormat="1"/>
    <xf numFmtId="0" fontId="2" fillId="0" borderId="6" xfId="0" applyFont="1" applyBorder="1"/>
    <xf numFmtId="0" fontId="2" fillId="0" borderId="7" xfId="0" applyFont="1" applyBorder="1"/>
    <xf numFmtId="1" fontId="15" fillId="0" borderId="0" xfId="0" applyNumberFormat="1" applyFont="1" applyBorder="1" applyAlignment="1">
      <alignment horizontal="center"/>
    </xf>
    <xf numFmtId="0" fontId="3" fillId="0" borderId="14" xfId="0" applyFont="1" applyBorder="1"/>
    <xf numFmtId="0" fontId="0" fillId="0" borderId="0" xfId="0" applyNumberFormat="1" applyAlignment="1">
      <alignment horizontal="center"/>
    </xf>
    <xf numFmtId="3" fontId="5" fillId="0" borderId="9" xfId="0" applyNumberFormat="1" applyFont="1" applyBorder="1"/>
    <xf numFmtId="0" fontId="2" fillId="0" borderId="2" xfId="0" applyFont="1" applyBorder="1" applyAlignment="1">
      <alignment vertical="center"/>
    </xf>
    <xf numFmtId="3" fontId="16" fillId="0" borderId="0" xfId="0" applyNumberFormat="1" applyFont="1"/>
    <xf numFmtId="0" fontId="16" fillId="0" borderId="6" xfId="0" applyFont="1" applyFill="1" applyBorder="1"/>
    <xf numFmtId="0" fontId="16" fillId="0" borderId="13" xfId="0" applyFont="1" applyFill="1" applyBorder="1"/>
    <xf numFmtId="3" fontId="16" fillId="0" borderId="13" xfId="0" applyNumberFormat="1" applyFont="1" applyFill="1" applyBorder="1"/>
    <xf numFmtId="0" fontId="16" fillId="0" borderId="7" xfId="0" applyFont="1" applyFill="1" applyBorder="1"/>
    <xf numFmtId="3" fontId="16" fillId="0" borderId="5" xfId="0" applyNumberFormat="1" applyFont="1" applyBorder="1"/>
    <xf numFmtId="4" fontId="0" fillId="0" borderId="9" xfId="0" applyNumberFormat="1" applyFont="1" applyBorder="1"/>
    <xf numFmtId="0" fontId="3" fillId="0" borderId="2" xfId="0" applyFont="1" applyBorder="1"/>
    <xf numFmtId="0" fontId="3" fillId="0" borderId="3" xfId="0" applyFont="1" applyBorder="1"/>
    <xf numFmtId="3" fontId="3" fillId="0" borderId="4" xfId="0" applyNumberFormat="1" applyFont="1" applyBorder="1"/>
    <xf numFmtId="0" fontId="16" fillId="0" borderId="15" xfId="0" applyFont="1" applyBorder="1"/>
    <xf numFmtId="3" fontId="16" fillId="0" borderId="30" xfId="0" applyNumberFormat="1" applyFont="1" applyBorder="1"/>
    <xf numFmtId="0" fontId="20" fillId="0" borderId="29" xfId="0" applyFont="1" applyBorder="1"/>
    <xf numFmtId="0" fontId="16" fillId="12" borderId="6" xfId="0" applyFont="1" applyFill="1" applyBorder="1"/>
    <xf numFmtId="0" fontId="0" fillId="0" borderId="11" xfId="0" applyFill="1" applyBorder="1"/>
    <xf numFmtId="166" fontId="0" fillId="0" borderId="11" xfId="1" applyFont="1" applyFill="1" applyBorder="1"/>
    <xf numFmtId="166" fontId="12" fillId="0" borderId="11" xfId="1" applyFont="1" applyFill="1" applyBorder="1"/>
    <xf numFmtId="0" fontId="22" fillId="0" borderId="0" xfId="0" applyFont="1"/>
    <xf numFmtId="0" fontId="23" fillId="0" borderId="0" xfId="0" applyFont="1"/>
    <xf numFmtId="0" fontId="22" fillId="0" borderId="2" xfId="0" applyFont="1" applyBorder="1"/>
    <xf numFmtId="0" fontId="22" fillId="0" borderId="4" xfId="0" applyFont="1" applyBorder="1"/>
    <xf numFmtId="0" fontId="22" fillId="0" borderId="1" xfId="0" applyFont="1" applyBorder="1"/>
    <xf numFmtId="0" fontId="22" fillId="0" borderId="1" xfId="1" applyNumberFormat="1" applyFont="1" applyBorder="1" applyAlignment="1">
      <alignment horizontal="center"/>
    </xf>
    <xf numFmtId="0" fontId="22" fillId="0" borderId="1" xfId="0" applyFont="1" applyBorder="1" applyAlignment="1">
      <alignment horizontal="center"/>
    </xf>
    <xf numFmtId="165" fontId="22" fillId="0" borderId="4" xfId="3" quotePrefix="1" applyFont="1" applyBorder="1" applyAlignment="1">
      <alignment horizontal="center"/>
    </xf>
    <xf numFmtId="165" fontId="22" fillId="7" borderId="1" xfId="3" applyFont="1" applyFill="1" applyBorder="1" applyProtection="1">
      <protection locked="0"/>
    </xf>
    <xf numFmtId="0" fontId="22" fillId="0" borderId="0" xfId="1" applyNumberFormat="1" applyFont="1" applyAlignment="1">
      <alignment horizontal="center"/>
    </xf>
    <xf numFmtId="0" fontId="22" fillId="0" borderId="0" xfId="0" applyFont="1" applyAlignment="1">
      <alignment horizontal="center"/>
    </xf>
    <xf numFmtId="165" fontId="22" fillId="0" borderId="0" xfId="3" quotePrefix="1" applyFont="1" applyAlignment="1">
      <alignment horizontal="center"/>
    </xf>
    <xf numFmtId="0" fontId="23" fillId="0" borderId="0" xfId="0" applyFont="1" applyAlignment="1">
      <alignment horizontal="left"/>
    </xf>
    <xf numFmtId="0" fontId="47" fillId="0" borderId="0" xfId="0" applyFont="1"/>
    <xf numFmtId="166" fontId="15" fillId="0" borderId="0" xfId="1" applyFont="1" applyBorder="1" applyAlignment="1">
      <alignment horizontal="right"/>
    </xf>
    <xf numFmtId="166" fontId="15" fillId="0" borderId="0" xfId="1" applyFont="1" applyAlignment="1">
      <alignment horizontal="right"/>
    </xf>
    <xf numFmtId="0" fontId="23" fillId="0" borderId="0" xfId="0" applyFont="1" applyAlignment="1">
      <alignment horizontal="center"/>
    </xf>
    <xf numFmtId="0" fontId="48" fillId="0" borderId="0" xfId="0" applyFont="1"/>
    <xf numFmtId="0" fontId="49" fillId="0" borderId="0" xfId="0" applyFont="1"/>
    <xf numFmtId="164" fontId="5" fillId="7" borderId="8" xfId="1" applyNumberFormat="1" applyFont="1" applyFill="1" applyBorder="1" applyAlignment="1" applyProtection="1">
      <alignment horizontal="right"/>
      <protection locked="0"/>
    </xf>
    <xf numFmtId="0" fontId="5" fillId="7" borderId="8" xfId="1" applyNumberFormat="1" applyFont="1" applyFill="1" applyBorder="1" applyAlignment="1" applyProtection="1">
      <alignment horizontal="right"/>
      <protection locked="0"/>
    </xf>
    <xf numFmtId="164" fontId="5" fillId="7" borderId="7" xfId="3" applyNumberFormat="1" applyFont="1" applyFill="1" applyBorder="1" applyAlignment="1" applyProtection="1">
      <alignment horizontal="right"/>
      <protection locked="0"/>
    </xf>
    <xf numFmtId="165" fontId="5" fillId="7" borderId="8" xfId="3" applyFont="1" applyFill="1" applyBorder="1" applyAlignment="1" applyProtection="1">
      <alignment horizontal="right"/>
      <protection locked="0"/>
    </xf>
    <xf numFmtId="0" fontId="0" fillId="0" borderId="6" xfId="0" applyFont="1" applyBorder="1"/>
    <xf numFmtId="0" fontId="5" fillId="0" borderId="7" xfId="0" applyFont="1" applyBorder="1"/>
    <xf numFmtId="0" fontId="5" fillId="0" borderId="9" xfId="0" applyFont="1" applyBorder="1"/>
    <xf numFmtId="0" fontId="0" fillId="0" borderId="10" xfId="0" applyFont="1" applyBorder="1"/>
    <xf numFmtId="170" fontId="2" fillId="3" borderId="7" xfId="0" applyNumberFormat="1" applyFont="1" applyFill="1" applyBorder="1"/>
    <xf numFmtId="165" fontId="0" fillId="3" borderId="8" xfId="0" applyNumberFormat="1" applyFill="1" applyBorder="1"/>
    <xf numFmtId="0" fontId="0" fillId="3" borderId="8" xfId="0" applyFill="1" applyBorder="1"/>
    <xf numFmtId="0" fontId="0" fillId="3" borderId="15" xfId="0" applyFill="1" applyBorder="1"/>
    <xf numFmtId="0" fontId="2" fillId="3" borderId="29" xfId="0" applyFont="1" applyFill="1" applyBorder="1"/>
    <xf numFmtId="170" fontId="3" fillId="3" borderId="30" xfId="3" applyNumberFormat="1" applyFont="1" applyFill="1" applyBorder="1" applyAlignment="1">
      <alignment horizontal="center"/>
    </xf>
    <xf numFmtId="0" fontId="2" fillId="3" borderId="6" xfId="0" applyFont="1" applyFill="1" applyBorder="1"/>
    <xf numFmtId="0" fontId="2" fillId="3" borderId="16" xfId="0" applyFont="1" applyFill="1" applyBorder="1"/>
    <xf numFmtId="167" fontId="0" fillId="0" borderId="0" xfId="0" applyNumberFormat="1" applyFill="1" applyBorder="1"/>
    <xf numFmtId="0" fontId="3" fillId="3" borderId="0" xfId="0" applyFont="1" applyFill="1" applyBorder="1"/>
    <xf numFmtId="0" fontId="5" fillId="3" borderId="0" xfId="0" applyFont="1" applyFill="1" applyBorder="1"/>
    <xf numFmtId="167" fontId="5" fillId="3" borderId="0" xfId="0" applyNumberFormat="1" applyFont="1" applyFill="1" applyBorder="1"/>
    <xf numFmtId="170" fontId="3" fillId="3" borderId="8" xfId="3" applyNumberFormat="1" applyFont="1" applyFill="1" applyBorder="1" applyAlignment="1">
      <alignment horizontal="center"/>
    </xf>
    <xf numFmtId="0" fontId="0" fillId="3" borderId="7" xfId="0" applyFill="1" applyBorder="1"/>
    <xf numFmtId="0" fontId="22" fillId="3" borderId="16" xfId="0" applyFont="1" applyFill="1" applyBorder="1"/>
    <xf numFmtId="0" fontId="50" fillId="3" borderId="6" xfId="0" applyFont="1" applyFill="1" applyBorder="1" applyAlignment="1">
      <alignment vertical="center"/>
    </xf>
    <xf numFmtId="170" fontId="2" fillId="3" borderId="8" xfId="0" applyNumberFormat="1" applyFont="1" applyFill="1" applyBorder="1"/>
    <xf numFmtId="167" fontId="0" fillId="0" borderId="0" xfId="0" applyNumberFormat="1"/>
    <xf numFmtId="43" fontId="5" fillId="0" borderId="4" xfId="1" quotePrefix="1" applyNumberFormat="1" applyFont="1" applyBorder="1" applyAlignment="1" applyProtection="1">
      <alignment horizontal="center"/>
    </xf>
    <xf numFmtId="0" fontId="47" fillId="0" borderId="0" xfId="0" applyFont="1" applyAlignment="1">
      <alignment vertical="center"/>
    </xf>
    <xf numFmtId="0" fontId="22" fillId="0" borderId="0" xfId="0" applyFont="1" applyAlignment="1">
      <alignment horizontal="left" vertical="top" wrapText="1"/>
    </xf>
    <xf numFmtId="0" fontId="51" fillId="5" borderId="0" xfId="0" applyFont="1" applyFill="1" applyAlignment="1">
      <alignment horizontal="left" wrapText="1"/>
    </xf>
    <xf numFmtId="0" fontId="3" fillId="0" borderId="6" xfId="0" applyFont="1" applyBorder="1" applyAlignment="1">
      <alignment horizontal="center"/>
    </xf>
    <xf numFmtId="0" fontId="3" fillId="0" borderId="13" xfId="0" applyFont="1" applyBorder="1" applyAlignment="1">
      <alignment horizontal="center"/>
    </xf>
    <xf numFmtId="0" fontId="3" fillId="0" borderId="7" xfId="0" applyFont="1" applyBorder="1" applyAlignment="1">
      <alignment horizontal="center"/>
    </xf>
    <xf numFmtId="0" fontId="3" fillId="0" borderId="14"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3" borderId="0" xfId="0" applyFont="1" applyFill="1" applyAlignment="1">
      <alignment horizontal="center"/>
    </xf>
    <xf numFmtId="0" fontId="2" fillId="3" borderId="8" xfId="0" applyFont="1" applyFill="1" applyBorder="1" applyAlignment="1">
      <alignment horizontal="center"/>
    </xf>
    <xf numFmtId="0" fontId="3" fillId="3" borderId="5" xfId="0" applyFont="1" applyFill="1" applyBorder="1" applyAlignment="1">
      <alignment horizontal="center"/>
    </xf>
    <xf numFmtId="0" fontId="3" fillId="3" borderId="9" xfId="0" applyFont="1" applyFill="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166" fontId="0" fillId="0" borderId="0" xfId="1" applyFont="1" applyAlignment="1">
      <alignment horizontal="center"/>
    </xf>
    <xf numFmtId="0" fontId="27" fillId="5" borderId="3" xfId="0" applyFont="1" applyFill="1" applyBorder="1" applyAlignment="1">
      <alignment horizontal="center"/>
    </xf>
    <xf numFmtId="0" fontId="27" fillId="5" borderId="4" xfId="0" applyFont="1" applyFill="1" applyBorder="1" applyAlignment="1">
      <alignment horizontal="center"/>
    </xf>
    <xf numFmtId="0" fontId="24" fillId="5" borderId="0" xfId="0" applyFont="1" applyFill="1" applyBorder="1" applyAlignment="1">
      <alignment horizontal="center" wrapText="1"/>
    </xf>
    <xf numFmtId="0" fontId="27" fillId="5" borderId="10" xfId="0" applyFont="1" applyFill="1" applyBorder="1" applyAlignment="1">
      <alignment horizontal="center" wrapText="1"/>
    </xf>
    <xf numFmtId="0" fontId="27" fillId="5" borderId="12" xfId="0" applyFont="1" applyFill="1" applyBorder="1" applyAlignment="1">
      <alignment horizontal="center" wrapText="1"/>
    </xf>
    <xf numFmtId="0" fontId="24" fillId="5" borderId="2" xfId="0" applyFont="1" applyFill="1" applyBorder="1" applyAlignment="1">
      <alignment horizontal="center" wrapText="1"/>
    </xf>
    <xf numFmtId="0" fontId="24" fillId="5" borderId="3" xfId="0" applyFont="1" applyFill="1" applyBorder="1" applyAlignment="1">
      <alignment horizontal="center" wrapText="1"/>
    </xf>
    <xf numFmtId="0" fontId="24" fillId="5" borderId="4" xfId="0" applyFont="1" applyFill="1" applyBorder="1" applyAlignment="1">
      <alignment horizont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6" fillId="0" borderId="3" xfId="0" applyFont="1" applyBorder="1" applyAlignment="1">
      <alignment horizontal="center" vertical="center"/>
    </xf>
    <xf numFmtId="0" fontId="0" fillId="0" borderId="0" xfId="0" applyAlignment="1">
      <alignment horizontal="left" wrapText="1"/>
    </xf>
    <xf numFmtId="0" fontId="3" fillId="0" borderId="6" xfId="0" applyFont="1" applyBorder="1" applyAlignment="1">
      <alignment horizontal="center" wrapText="1"/>
    </xf>
    <xf numFmtId="0" fontId="3" fillId="0" borderId="13" xfId="0" applyFont="1" applyBorder="1" applyAlignment="1">
      <alignment horizontal="center" wrapText="1"/>
    </xf>
    <xf numFmtId="0" fontId="3" fillId="0" borderId="7" xfId="0" applyFont="1" applyBorder="1" applyAlignment="1">
      <alignment horizontal="center" wrapText="1"/>
    </xf>
  </cellXfs>
  <cellStyles count="5">
    <cellStyle name="Comma" xfId="1" builtinId="3"/>
    <cellStyle name="Currency" xfId="3" builtinId="4"/>
    <cellStyle name="Hyperlink" xfId="4" builtinId="8"/>
    <cellStyle name="Normal" xfId="0" builtinId="0"/>
    <cellStyle name="Percent" xfId="2" builtinId="5"/>
  </cellStyles>
  <dxfs count="58">
    <dxf>
      <font>
        <b val="0"/>
        <i val="0"/>
        <strike val="0"/>
        <condense val="0"/>
        <extend val="0"/>
        <outline val="0"/>
        <shadow val="0"/>
        <u val="none"/>
        <vertAlign val="baseline"/>
        <sz val="11"/>
        <color theme="1"/>
        <name val="Arial"/>
        <scheme val="none"/>
      </font>
      <numFmt numFmtId="4" formatCode="#,##0.00"/>
    </dxf>
    <dxf>
      <font>
        <b val="0"/>
        <i val="0"/>
        <strike val="0"/>
        <condense val="0"/>
        <extend val="0"/>
        <outline val="0"/>
        <shadow val="0"/>
        <u val="none"/>
        <vertAlign val="baseline"/>
        <sz val="11"/>
        <color auto="1"/>
        <name val="Arial"/>
        <scheme val="none"/>
      </font>
      <numFmt numFmtId="4"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1"/>
        <color theme="1"/>
        <name val="Calibri"/>
        <scheme val="minor"/>
      </font>
      <numFmt numFmtId="0" formatCode="General"/>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66" formatCode="_(* #,##0.00_);_(* \(#,##0.00\);_(* &quot;-&quot;??_);_(@_)"/>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166" formatCode="_(* #,##0.00_);_(* \(#,##0.00\);_(* &quot;-&quot;??_);_(@_)"/>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77" formatCode="_(* #,##0.000_);_(* \(#,##0.000\);_(* &quot;-&quot;??_);_(@_)"/>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7" formatCode="_(* #,##0.000_);_(* \(#,##0.000\);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00_);_(&quot;$&quot;* \(#,##0.00\);_(&quot;$&quot;* &quot;-&quot;??_);_(@_)"/>
      <fill>
        <patternFill patternType="none">
          <fgColor indexed="64"/>
          <bgColor auto="1"/>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numFmt numFmtId="165" formatCode="_(&quot;$&quot;* #,##0.00_);_(&quot;$&quot;* \(#,##0.00\);_(&quot;$&quot;* &quot;-&quot;??_);_(@_)"/>
      <fill>
        <patternFill patternType="solid">
          <fgColor theme="7" tint="0.79998168889431442"/>
          <bgColor theme="7" tint="0.79998168889431442"/>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dxf>
    <dxf>
      <font>
        <b val="0"/>
        <i val="0"/>
        <strike val="0"/>
        <condense val="0"/>
        <extend val="0"/>
        <outline val="0"/>
        <shadow val="0"/>
        <u val="none"/>
        <vertAlign val="baseline"/>
        <sz val="11"/>
        <color theme="1"/>
        <name val="Calibri"/>
        <scheme val="minor"/>
      </font>
      <numFmt numFmtId="2" formatCode="0.00"/>
    </dxf>
    <dxf>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78" formatCode="#,##0.00_);\(#,##0.00\)"/>
      <fill>
        <patternFill patternType="none">
          <fgColor indexed="64"/>
          <bgColor auto="1"/>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78" formatCode="#,##0.00_);\(#,##0.00\)"/>
      <fill>
        <patternFill patternType="solid">
          <fgColor theme="7" tint="0.79998168889431442"/>
          <bgColor theme="7"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numFmt numFmtId="13" formatCode="0%"/>
      <fill>
        <patternFill patternType="none">
          <fgColor indexed="64"/>
          <bgColor auto="1"/>
        </patternFill>
      </fill>
      <border diagonalUp="0" diagonalDown="0" outline="0">
        <left style="thin">
          <color theme="0"/>
        </left>
        <right style="thin">
          <color theme="0"/>
        </right>
        <top style="thin">
          <color theme="0"/>
        </top>
        <bottom/>
      </border>
    </dxf>
    <dxf>
      <numFmt numFmtId="13" formatCode="0%"/>
      <fill>
        <patternFill patternType="solid">
          <fgColor theme="7" tint="0.79998168889431442"/>
          <bgColor theme="7" tint="0.79998168889431442"/>
        </patternFill>
      </fill>
      <border diagonalUp="0" diagonalDown="0">
        <left style="thin">
          <color theme="0"/>
        </left>
        <right style="thin">
          <color theme="0"/>
        </right>
        <top style="thin">
          <color theme="0"/>
        </top>
        <bottom style="thin">
          <color theme="0"/>
        </bottom>
        <vertical/>
        <horizontal/>
      </border>
    </dxf>
    <dxf>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Calibri"/>
        <scheme val="minor"/>
      </font>
      <fill>
        <patternFill patternType="solid">
          <fgColor theme="7" tint="0.79998168889431442"/>
          <bgColor theme="7" tint="0.79998168889431442"/>
        </patternFill>
      </fill>
      <border diagonalUp="0" diagonalDown="0">
        <left style="thin">
          <color theme="0"/>
        </left>
        <right style="thin">
          <color theme="0"/>
        </right>
        <top style="thin">
          <color theme="0"/>
        </top>
        <bottom style="thin">
          <color theme="0"/>
        </bottom>
        <vertical/>
        <horizontal/>
      </border>
    </dxf>
    <dxf>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border diagonalUp="0" diagonalDown="0">
        <left style="thin">
          <color indexed="64"/>
        </left>
        <right/>
        <top/>
        <bottom/>
        <vertical/>
        <horizontal/>
      </border>
    </dxf>
    <dxf>
      <fill>
        <patternFill patternType="none">
          <fgColor indexed="64"/>
          <bgColor auto="1"/>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7" formatCode="_(* #,##0_);_(* \(#,##0\);_(* &quot;-&quot;??_);_(@_)"/>
      <alignment horizontal="center" vertical="bottom" textRotation="0" wrapText="0" indent="0" justifyLastLine="0" shrinkToFit="0" readingOrder="0"/>
      <border diagonalUp="0" diagonalDown="0">
        <left/>
        <right style="thin">
          <color indexed="64"/>
        </right>
        <top/>
        <bottom/>
        <vertical/>
        <horizontal/>
      </border>
    </dxf>
    <dxf>
      <numFmt numFmtId="179" formatCode="0.000"/>
    </dxf>
    <dxf>
      <font>
        <b val="0"/>
        <i val="0"/>
        <strike val="0"/>
        <condense val="0"/>
        <extend val="0"/>
        <outline val="0"/>
        <shadow val="0"/>
        <u val="none"/>
        <vertAlign val="baseline"/>
        <sz val="11"/>
        <color theme="1"/>
        <name val="Calibri"/>
        <scheme val="minor"/>
      </font>
      <numFmt numFmtId="167" formatCode="_(* #,##0_);_(* \(#,##0\);_(* &quot;-&quot;??_);_(@_)"/>
    </dxf>
    <dxf>
      <font>
        <b val="0"/>
        <i val="0"/>
        <strike val="0"/>
        <condense val="0"/>
        <extend val="0"/>
        <outline val="0"/>
        <shadow val="0"/>
        <u val="none"/>
        <vertAlign val="baseline"/>
        <sz val="11"/>
        <color theme="1"/>
        <name val="Calibri"/>
        <scheme val="minor"/>
      </font>
      <numFmt numFmtId="169" formatCode="_(* #,##0.0_);_(* \(#,##0.0\);_(* &quot;-&quot;??_);_(@_)"/>
    </dxf>
    <dxf>
      <numFmt numFmtId="167" formatCode="_(* #,##0_);_(* \(#,##0\);_(* &quot;-&quot;??_);_(@_)"/>
    </dxf>
    <dxf>
      <font>
        <b val="0"/>
        <i val="0"/>
        <strike val="0"/>
        <condense val="0"/>
        <extend val="0"/>
        <outline val="0"/>
        <shadow val="0"/>
        <u val="none"/>
        <vertAlign val="baseline"/>
        <sz val="11"/>
        <color theme="1"/>
        <name val="Calibri"/>
        <scheme val="minor"/>
      </font>
      <numFmt numFmtId="169" formatCode="_(* #,##0.0_);_(* \(#,##0.0\);_(* &quot;-&quot;??_);_(@_)"/>
    </dxf>
    <dxf>
      <alignment horizontal="center" vertical="bottom" textRotation="0" wrapText="0" indent="0" justifyLastLine="0" shrinkToFit="0" readingOrder="0"/>
    </dxf>
    <dxf>
      <border diagonalUp="0" diagonalDown="0">
        <left style="thin">
          <color indexed="64"/>
        </left>
        <right/>
        <top/>
        <bottom/>
        <vertical/>
        <horizontal/>
      </border>
    </dxf>
    <dxf>
      <numFmt numFmtId="180" formatCode="&quot;$&quot;#,##0_);\(&quot;$&quot;#,##0\)"/>
      <fill>
        <patternFill>
          <bgColor theme="8" tint="0.79998168889431442"/>
        </patternFill>
      </fill>
    </dxf>
    <dxf>
      <numFmt numFmtId="180" formatCode="&quot;$&quot;#,##0_);\(&quot;$&quot;#,##0\)"/>
      <fill>
        <patternFill>
          <bgColor theme="9" tint="0.39994506668294322"/>
        </patternFill>
      </fill>
    </dxf>
    <dxf>
      <numFmt numFmtId="181" formatCode="#,##0_);\(#,##0\)"/>
      <fill>
        <patternFill>
          <bgColor theme="9" tint="0.39994506668294322"/>
        </patternFill>
      </fill>
    </dxf>
    <dxf>
      <numFmt numFmtId="182" formatCode="0_);\(0\)"/>
      <fill>
        <patternFill>
          <bgColor theme="9" tint="0.59996337778862885"/>
        </patternFill>
      </fill>
    </dxf>
    <dxf>
      <numFmt numFmtId="183" formatCode="_(* #,##0_);_(* \(#,##0\);_(* &quot;-&quot;_);_(@_)"/>
    </dxf>
    <dxf>
      <numFmt numFmtId="184" formatCode="&quot;$&quot;#,##0"/>
      <fill>
        <patternFill>
          <bgColor theme="8" tint="0.79998168889431442"/>
        </patternFill>
      </fill>
    </dxf>
    <dxf>
      <numFmt numFmtId="180" formatCode="&quot;$&quot;#,##0_);\(&quot;$&quot;#,##0\)"/>
      <fill>
        <patternFill>
          <bgColor theme="8" tint="0.79998168889431442"/>
        </patternFill>
      </fill>
    </dxf>
    <dxf>
      <numFmt numFmtId="183" formatCode="_(* #,##0_);_(* \(#,##0\);_(* &quot;-&quot;_);_(@_)"/>
    </dxf>
    <dxf>
      <numFmt numFmtId="180" formatCode="&quot;$&quot;#,##0_);\(&quot;$&quot;#,##0\)"/>
      <fill>
        <patternFill>
          <bgColor theme="9" tint="0.39994506668294322"/>
        </patternFill>
      </fill>
    </dxf>
    <dxf>
      <numFmt numFmtId="181" formatCode="#,##0_);\(#,##0\)"/>
      <fill>
        <patternFill>
          <bgColor theme="9" tint="0.39994506668294322"/>
        </patternFill>
      </fill>
    </dxf>
    <dxf>
      <numFmt numFmtId="182" formatCode="0_);\(0\)"/>
      <fill>
        <patternFill>
          <bgColor theme="9" tint="0.59996337778862885"/>
        </patternFill>
      </fill>
    </dxf>
    <dxf>
      <numFmt numFmtId="183" formatCode="_(* #,##0_);_(* \(#,##0\);_(* &quot;-&quot;_);_(@_)"/>
    </dxf>
    <dxf>
      <numFmt numFmtId="184" formatCode="&quot;$&quot;#,##0"/>
      <fill>
        <patternFill>
          <bgColor theme="8" tint="0.79998168889431442"/>
        </patternFill>
      </fill>
    </dxf>
  </dxfs>
  <tableStyles count="0" defaultTableStyle="TableStyleMedium2" defaultPivotStyle="PivotStyleLight16"/>
  <colors>
    <mruColors>
      <color rgb="FF99FFCC"/>
      <color rgb="FFFFFF99"/>
      <color rgb="FFFFFFCC"/>
      <color rgb="FFFF9999"/>
      <color rgb="FFFF5050"/>
      <color rgb="FFEAEAEA"/>
      <color rgb="FFC0C0C0"/>
      <color rgb="FFDDDDDD"/>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66</xdr:row>
      <xdr:rowOff>77604</xdr:rowOff>
    </xdr:from>
    <xdr:to>
      <xdr:col>5</xdr:col>
      <xdr:colOff>377172</xdr:colOff>
      <xdr:row>71</xdr:row>
      <xdr:rowOff>151865</xdr:rowOff>
    </xdr:to>
    <xdr:pic>
      <xdr:nvPicPr>
        <xdr:cNvPr id="2" name="Picture 1" descr="CAP logo w.tagline - colour">
          <a:extLst>
            <a:ext uri="{FF2B5EF4-FFF2-40B4-BE49-F238E27FC236}">
              <a16:creationId xmlns:a16="http://schemas.microsoft.com/office/drawing/2014/main" id="{2C1A4326-EF58-4458-AA65-69AD2DD0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419"/>
        <a:stretch>
          <a:fillRect/>
        </a:stretch>
      </xdr:blipFill>
      <xdr:spPr bwMode="auto">
        <a:xfrm>
          <a:off x="1820333" y="13052771"/>
          <a:ext cx="1590728" cy="991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592666</xdr:colOff>
      <xdr:row>67</xdr:row>
      <xdr:rowOff>183433</xdr:rowOff>
    </xdr:from>
    <xdr:to>
      <xdr:col>8</xdr:col>
      <xdr:colOff>7904</xdr:colOff>
      <xdr:row>70</xdr:row>
      <xdr:rowOff>54984</xdr:rowOff>
    </xdr:to>
    <xdr:pic>
      <xdr:nvPicPr>
        <xdr:cNvPr id="3" name="Picture 25" descr="BCID_H_key_cmyk_pos.jpg">
          <a:extLst>
            <a:ext uri="{FF2B5EF4-FFF2-40B4-BE49-F238E27FC236}">
              <a16:creationId xmlns:a16="http://schemas.microsoft.com/office/drawing/2014/main" id="{06A7DF45-37F4-4A9A-9DCB-7BC6C5337939}"/>
            </a:ext>
          </a:extLst>
        </xdr:cNvPr>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l="7727" t="22142" r="7727" b="16748"/>
        <a:stretch>
          <a:fillRect/>
        </a:stretch>
      </xdr:blipFill>
      <xdr:spPr bwMode="auto">
        <a:xfrm>
          <a:off x="3626555" y="13342044"/>
          <a:ext cx="1235571" cy="421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331621</xdr:colOff>
      <xdr:row>68</xdr:row>
      <xdr:rowOff>112884</xdr:rowOff>
    </xdr:from>
    <xdr:to>
      <xdr:col>10</xdr:col>
      <xdr:colOff>10572</xdr:colOff>
      <xdr:row>69</xdr:row>
      <xdr:rowOff>180213</xdr:rowOff>
    </xdr:to>
    <xdr:pic>
      <xdr:nvPicPr>
        <xdr:cNvPr id="4" name="Picture 27" descr="canada_2c.tif">
          <a:extLst>
            <a:ext uri="{FF2B5EF4-FFF2-40B4-BE49-F238E27FC236}">
              <a16:creationId xmlns:a16="http://schemas.microsoft.com/office/drawing/2014/main" id="{95161C98-7EE5-4E6C-8A65-81FCF24B0542}"/>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85843" y="13454940"/>
          <a:ext cx="892507" cy="250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95250</xdr:colOff>
      <xdr:row>13</xdr:row>
      <xdr:rowOff>95250</xdr:rowOff>
    </xdr:from>
    <xdr:to>
      <xdr:col>7</xdr:col>
      <xdr:colOff>638175</xdr:colOff>
      <xdr:row>22</xdr:row>
      <xdr:rowOff>19050</xdr:rowOff>
    </xdr:to>
    <xdr:sp macro="" textlink="">
      <xdr:nvSpPr>
        <xdr:cNvPr id="8326" name="Text Box 134" hidden="1">
          <a:extLst>
            <a:ext uri="{FF2B5EF4-FFF2-40B4-BE49-F238E27FC236}">
              <a16:creationId xmlns:a16="http://schemas.microsoft.com/office/drawing/2014/main" id="{EC9C3598-0544-4448-97D7-2F0A624551AB}"/>
            </a:ext>
          </a:extLst>
        </xdr:cNvPr>
        <xdr:cNvSpPr txBox="1">
          <a:spLocks noChangeArrowheads="1"/>
        </xdr:cNvSpPr>
      </xdr:nvSpPr>
      <xdr:spPr bwMode="auto">
        <a:xfrm>
          <a:off x="2019300" y="3619500"/>
          <a:ext cx="1352550" cy="16192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xdr:col>
      <xdr:colOff>142875</xdr:colOff>
      <xdr:row>4</xdr:row>
      <xdr:rowOff>19050</xdr:rowOff>
    </xdr:from>
    <xdr:to>
      <xdr:col>7</xdr:col>
      <xdr:colOff>314325</xdr:colOff>
      <xdr:row>15</xdr:row>
      <xdr:rowOff>47625</xdr:rowOff>
    </xdr:to>
    <xdr:sp macro="" textlink="">
      <xdr:nvSpPr>
        <xdr:cNvPr id="8471" name="Text Box 279" hidden="1">
          <a:extLst>
            <a:ext uri="{FF2B5EF4-FFF2-40B4-BE49-F238E27FC236}">
              <a16:creationId xmlns:a16="http://schemas.microsoft.com/office/drawing/2014/main" id="{605E6854-F08A-4C32-9F2B-9E2A71772611}"/>
            </a:ext>
          </a:extLst>
        </xdr:cNvPr>
        <xdr:cNvSpPr txBox="1">
          <a:spLocks noChangeArrowheads="1"/>
        </xdr:cNvSpPr>
      </xdr:nvSpPr>
      <xdr:spPr bwMode="auto">
        <a:xfrm>
          <a:off x="2066925" y="1819275"/>
          <a:ext cx="981075" cy="21240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xdr:col>
      <xdr:colOff>95250</xdr:colOff>
      <xdr:row>0</xdr:row>
      <xdr:rowOff>0</xdr:rowOff>
    </xdr:from>
    <xdr:to>
      <xdr:col>7</xdr:col>
      <xdr:colOff>638175</xdr:colOff>
      <xdr:row>1</xdr:row>
      <xdr:rowOff>685800</xdr:rowOff>
    </xdr:to>
    <xdr:sp macro="" textlink="">
      <xdr:nvSpPr>
        <xdr:cNvPr id="8474" name="Text Box 282" hidden="1">
          <a:extLst>
            <a:ext uri="{FF2B5EF4-FFF2-40B4-BE49-F238E27FC236}">
              <a16:creationId xmlns:a16="http://schemas.microsoft.com/office/drawing/2014/main" id="{BC11261C-AE32-4BD6-B860-D3AADEAC0CAE}"/>
            </a:ext>
          </a:extLst>
        </xdr:cNvPr>
        <xdr:cNvSpPr txBox="1">
          <a:spLocks noChangeArrowheads="1"/>
        </xdr:cNvSpPr>
      </xdr:nvSpPr>
      <xdr:spPr bwMode="auto">
        <a:xfrm>
          <a:off x="2019300" y="0"/>
          <a:ext cx="1352550" cy="87630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xdr:col>
      <xdr:colOff>142875</xdr:colOff>
      <xdr:row>6</xdr:row>
      <xdr:rowOff>133350</xdr:rowOff>
    </xdr:from>
    <xdr:to>
      <xdr:col>7</xdr:col>
      <xdr:colOff>678657</xdr:colOff>
      <xdr:row>10</xdr:row>
      <xdr:rowOff>133350</xdr:rowOff>
    </xdr:to>
    <xdr:sp macro="" textlink="">
      <xdr:nvSpPr>
        <xdr:cNvPr id="8482" name="Text Box 290" hidden="1">
          <a:extLst>
            <a:ext uri="{FF2B5EF4-FFF2-40B4-BE49-F238E27FC236}">
              <a16:creationId xmlns:a16="http://schemas.microsoft.com/office/drawing/2014/main" id="{D0034EB4-8570-4386-B69E-9343FBB78124}"/>
            </a:ext>
          </a:extLst>
        </xdr:cNvPr>
        <xdr:cNvSpPr txBox="1">
          <a:spLocks noChangeArrowheads="1"/>
        </xdr:cNvSpPr>
      </xdr:nvSpPr>
      <xdr:spPr bwMode="auto">
        <a:xfrm>
          <a:off x="2066925" y="2314575"/>
          <a:ext cx="1352550" cy="76200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xdr:col>
      <xdr:colOff>95250</xdr:colOff>
      <xdr:row>7</xdr:row>
      <xdr:rowOff>142875</xdr:rowOff>
    </xdr:from>
    <xdr:to>
      <xdr:col>7</xdr:col>
      <xdr:colOff>619125</xdr:colOff>
      <xdr:row>13</xdr:row>
      <xdr:rowOff>123825</xdr:rowOff>
    </xdr:to>
    <xdr:sp macro="" textlink="">
      <xdr:nvSpPr>
        <xdr:cNvPr id="8488" name="Text Box 296" hidden="1">
          <a:extLst>
            <a:ext uri="{FF2B5EF4-FFF2-40B4-BE49-F238E27FC236}">
              <a16:creationId xmlns:a16="http://schemas.microsoft.com/office/drawing/2014/main" id="{53B417FC-700D-45B0-AA81-F3173469C705}"/>
            </a:ext>
          </a:extLst>
        </xdr:cNvPr>
        <xdr:cNvSpPr txBox="1">
          <a:spLocks noChangeArrowheads="1"/>
        </xdr:cNvSpPr>
      </xdr:nvSpPr>
      <xdr:spPr bwMode="auto">
        <a:xfrm>
          <a:off x="2019300" y="2514600"/>
          <a:ext cx="1333500" cy="11239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27" displayName="Table27" ref="A3:H12" totalsRowShown="0">
  <autoFilter ref="A3:H12" xr:uid="{00000000-0009-0000-0100-000006000000}"/>
  <sortState xmlns:xlrd2="http://schemas.microsoft.com/office/spreadsheetml/2017/richdata2" ref="A4:G12">
    <sortCondition ref="A5:A12"/>
  </sortState>
  <tableColumns count="8">
    <tableColumn id="1" xr3:uid="{00000000-0010-0000-0000-000001000000}" name="Blend" dataDxfId="44"/>
    <tableColumn id="2" xr3:uid="{00000000-0010-0000-0000-000002000000}" name="$/Unit" dataDxfId="43"/>
    <tableColumn id="3" xr3:uid="{00000000-0010-0000-0000-000003000000}" name="Unit" dataDxfId="42" dataCellStyle="Comma"/>
    <tableColumn id="5" xr3:uid="{00000000-0010-0000-0000-000005000000}" name="Column1" dataDxfId="41" dataCellStyle="Comma"/>
    <tableColumn id="6" xr3:uid="{00000000-0010-0000-0000-000006000000}" name="Rate" dataDxfId="40" dataCellStyle="Comma"/>
    <tableColumn id="7" xr3:uid="{00000000-0010-0000-0000-000007000000}" name="Column2" dataDxfId="39" dataCellStyle="Comma"/>
    <tableColumn id="4" xr3:uid="{00000000-0010-0000-0000-000004000000}" name="$/Unit3" dataDxfId="38">
      <calculatedColumnFormula>Table27[[#This Row],[$/Unit]]/Table27[[#This Row],[Column1]]</calculatedColumnFormula>
    </tableColumn>
    <tableColumn id="8" xr3:uid="{00000000-0010-0000-0000-000008000000}" name="$/Unit4" dataDxfId="37"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4:L22" totalsRowShown="0" headerRowDxfId="36" totalsRowDxfId="35">
  <autoFilter ref="A4:L22" xr:uid="{00000000-0009-0000-0100-000001000000}"/>
  <sortState xmlns:xlrd2="http://schemas.microsoft.com/office/spreadsheetml/2017/richdata2" ref="A5:L22">
    <sortCondition ref="A5:A22"/>
  </sortState>
  <tableColumns count="12">
    <tableColumn id="1" xr3:uid="{00000000-0010-0000-0100-000001000000}" name="Name" dataDxfId="34" totalsRowDxfId="33"/>
    <tableColumn id="10" xr3:uid="{00000000-0010-0000-0100-00000A000000}" name="Type" dataDxfId="32" totalsRowDxfId="31"/>
    <tableColumn id="11" xr3:uid="{00000000-0010-0000-0100-00000B000000}" name="Active ingredient" totalsRowDxfId="30"/>
    <tableColumn id="2" xr3:uid="{00000000-0010-0000-0100-000002000000}" name="Column1" dataDxfId="29" totalsRowDxfId="28"/>
    <tableColumn id="3" xr3:uid="{00000000-0010-0000-0100-000003000000}" name="Qty" dataDxfId="27" totalsRowDxfId="26" dataCellStyle="Comma"/>
    <tableColumn id="4" xr3:uid="{00000000-0010-0000-0100-000004000000}" name="Unit" dataDxfId="25" totalsRowDxfId="24"/>
    <tableColumn id="5" xr3:uid="{00000000-0010-0000-0100-000005000000}" name="Column2" dataDxfId="23" totalsRowDxfId="22" dataCellStyle="Currency"/>
    <tableColumn id="6" xr3:uid="{00000000-0010-0000-0100-000006000000}" name="Price $/ Unit" dataDxfId="21" totalsRowDxfId="20" dataCellStyle="Comma"/>
    <tableColumn id="7" xr3:uid="{00000000-0010-0000-0100-000007000000}" name="Rate" dataDxfId="19" totalsRowDxfId="18" dataCellStyle="Comma"/>
    <tableColumn id="8" xr3:uid="{00000000-0010-0000-0100-000008000000}" name="Unit3" dataDxfId="17" totalsRowDxfId="16"/>
    <tableColumn id="9" xr3:uid="{00000000-0010-0000-0100-000009000000}" name="$/Acre" dataDxfId="15" totalsRowDxfId="14" dataCellStyle="Comma">
      <calculatedColumnFormula>L5*I5*H5</calculatedColumnFormula>
    </tableColumn>
    <tableColumn id="12" xr3:uid="{00000000-0010-0000-0100-00000C000000}" name="Column3" dataDxfId="13" totalsRowDxfId="12" dataCellStyle="Comma"/>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L4:T17" totalsRowShown="0" headerRowDxfId="11" dataDxfId="10" tableBorderDxfId="9">
  <autoFilter ref="L4:T17" xr:uid="{00000000-0009-0000-0100-000002000000}"/>
  <sortState xmlns:xlrd2="http://schemas.microsoft.com/office/spreadsheetml/2017/richdata2" ref="L5:T17">
    <sortCondition ref="L5:L17"/>
  </sortState>
  <tableColumns count="9">
    <tableColumn id="1" xr3:uid="{00000000-0010-0000-0200-000001000000}" name=" MACHINE LIST:" dataDxfId="8"/>
    <tableColumn id="2" xr3:uid="{00000000-0010-0000-0200-000002000000}" name="Column1" dataDxfId="7"/>
    <tableColumn id="3" xr3:uid="{00000000-0010-0000-0200-000003000000}" name=" NEW" dataDxfId="6"/>
    <tableColumn id="4" xr3:uid="{00000000-0010-0000-0200-000004000000}" name="YEARS" dataDxfId="5"/>
    <tableColumn id="5" xr3:uid="{00000000-0010-0000-0200-000005000000}" name="SALVAGE" dataDxfId="4"/>
    <tableColumn id="6" xr3:uid="{00000000-0010-0000-0200-000006000000}" name="HOURS" dataDxfId="3"/>
    <tableColumn id="7" xr3:uid="{00000000-0010-0000-0200-000007000000}" name="REPAIR" dataDxfId="2"/>
    <tableColumn id="8" xr3:uid="{00000000-0010-0000-0200-000008000000}" name="FUEL      &amp; LUB" dataDxfId="1"/>
    <tableColumn id="9" xr3:uid="{00000000-0010-0000-0200-000009000000}" name="TOTAL OP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1.bin"/><Relationship Id="rId1" Type="http://schemas.openxmlformats.org/officeDocument/2006/relationships/hyperlink" Target="http://www.omafra.gov.on.ca/english/busdev/facts/01-075.htm" TargetMode="External"/><Relationship Id="rId5" Type="http://schemas.openxmlformats.org/officeDocument/2006/relationships/comments" Target="../comments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6"/>
  <sheetViews>
    <sheetView tabSelected="1" zoomScale="90" zoomScaleNormal="90" workbookViewId="0">
      <pane xSplit="19" ySplit="1" topLeftCell="T23" activePane="bottomRight" state="frozen"/>
      <selection pane="topRight" activeCell="T1" sqref="T1"/>
      <selection pane="bottomLeft" activeCell="A2" sqref="A2"/>
      <selection pane="bottomRight" activeCell="B35" sqref="B35:K36"/>
    </sheetView>
  </sheetViews>
  <sheetFormatPr defaultRowHeight="14.5" x14ac:dyDescent="0.35"/>
  <cols>
    <col min="20" max="20" width="19.54296875" customWidth="1"/>
  </cols>
  <sheetData>
    <row r="1" spans="1:2" ht="20" x14ac:dyDescent="0.35">
      <c r="A1" s="542" t="s">
        <v>413</v>
      </c>
    </row>
    <row r="2" spans="1:2" ht="20" x14ac:dyDescent="0.35">
      <c r="A2" s="542" t="s">
        <v>347</v>
      </c>
      <c r="B2" s="542"/>
    </row>
    <row r="3" spans="1:2" ht="15.5" x14ac:dyDescent="0.35">
      <c r="A3" s="208" t="s">
        <v>348</v>
      </c>
      <c r="B3" s="208"/>
    </row>
    <row r="4" spans="1:2" ht="15.5" x14ac:dyDescent="0.35">
      <c r="A4" s="208" t="s">
        <v>349</v>
      </c>
    </row>
    <row r="5" spans="1:2" ht="15.5" x14ac:dyDescent="0.35">
      <c r="A5" s="208" t="s">
        <v>365</v>
      </c>
    </row>
    <row r="6" spans="1:2" ht="15.5" x14ac:dyDescent="0.35">
      <c r="A6" s="208" t="s">
        <v>350</v>
      </c>
    </row>
    <row r="7" spans="1:2" ht="15.5" x14ac:dyDescent="0.35">
      <c r="B7" s="208" t="s">
        <v>408</v>
      </c>
    </row>
    <row r="8" spans="1:2" ht="15.5" x14ac:dyDescent="0.35">
      <c r="B8" s="208" t="s">
        <v>355</v>
      </c>
    </row>
    <row r="9" spans="1:2" ht="15.5" x14ac:dyDescent="0.35">
      <c r="A9" s="208" t="s">
        <v>414</v>
      </c>
      <c r="B9" s="208"/>
    </row>
    <row r="10" spans="1:2" ht="15.5" x14ac:dyDescent="0.35">
      <c r="A10" s="208" t="s">
        <v>338</v>
      </c>
      <c r="B10" s="208"/>
    </row>
    <row r="11" spans="1:2" ht="15.5" x14ac:dyDescent="0.35">
      <c r="A11" s="208" t="s">
        <v>351</v>
      </c>
    </row>
    <row r="12" spans="1:2" ht="15.5" x14ac:dyDescent="0.35">
      <c r="A12" s="208" t="s">
        <v>407</v>
      </c>
    </row>
    <row r="13" spans="1:2" ht="15.5" x14ac:dyDescent="0.35">
      <c r="A13" s="208" t="s">
        <v>352</v>
      </c>
    </row>
    <row r="14" spans="1:2" ht="15.5" x14ac:dyDescent="0.35">
      <c r="A14" s="208" t="s">
        <v>366</v>
      </c>
    </row>
    <row r="15" spans="1:2" ht="15.5" x14ac:dyDescent="0.35">
      <c r="A15" s="208" t="s">
        <v>415</v>
      </c>
    </row>
    <row r="16" spans="1:2" ht="15.5" x14ac:dyDescent="0.35">
      <c r="A16" s="208" t="s">
        <v>416</v>
      </c>
    </row>
    <row r="17" spans="1:20" ht="15.5" x14ac:dyDescent="0.35">
      <c r="A17" s="617" t="s">
        <v>417</v>
      </c>
    </row>
    <row r="18" spans="1:20" ht="15.5" x14ac:dyDescent="0.35">
      <c r="A18" s="617" t="s">
        <v>418</v>
      </c>
    </row>
    <row r="19" spans="1:20" ht="15.5" x14ac:dyDescent="0.35">
      <c r="A19" s="208" t="s">
        <v>353</v>
      </c>
    </row>
    <row r="20" spans="1:20" ht="15.5" x14ac:dyDescent="0.35">
      <c r="A20" s="208" t="s">
        <v>373</v>
      </c>
    </row>
    <row r="21" spans="1:20" ht="15.5" x14ac:dyDescent="0.35">
      <c r="A21" s="208" t="s">
        <v>337</v>
      </c>
    </row>
    <row r="22" spans="1:20" ht="15.5" x14ac:dyDescent="0.35">
      <c r="A22" s="208"/>
    </row>
    <row r="23" spans="1:20" ht="15.5" x14ac:dyDescent="0.35">
      <c r="A23" s="208" t="s">
        <v>372</v>
      </c>
    </row>
    <row r="24" spans="1:20" ht="15.5" x14ac:dyDescent="0.35">
      <c r="A24" s="208" t="s">
        <v>354</v>
      </c>
    </row>
    <row r="25" spans="1:20" ht="15.5" x14ac:dyDescent="0.35">
      <c r="A25" s="208"/>
    </row>
    <row r="26" spans="1:20" ht="18" x14ac:dyDescent="0.35">
      <c r="A26" s="457" t="s">
        <v>339</v>
      </c>
    </row>
    <row r="27" spans="1:20" x14ac:dyDescent="0.35">
      <c r="B27" s="32"/>
    </row>
    <row r="28" spans="1:20" ht="15.5" x14ac:dyDescent="0.35">
      <c r="B28" s="206" t="s">
        <v>173</v>
      </c>
    </row>
    <row r="29" spans="1:20" ht="15" customHeight="1" x14ac:dyDescent="0.35">
      <c r="B29" s="618" t="s">
        <v>364</v>
      </c>
      <c r="C29" s="618"/>
      <c r="D29" s="618"/>
      <c r="E29" s="618"/>
      <c r="F29" s="618"/>
      <c r="G29" s="618"/>
      <c r="H29" s="618"/>
      <c r="I29" s="618"/>
      <c r="J29" s="618"/>
      <c r="K29" s="618"/>
      <c r="L29" s="207"/>
      <c r="M29" s="207"/>
      <c r="N29" s="207"/>
      <c r="O29" s="207"/>
      <c r="P29" s="207"/>
      <c r="Q29" s="207"/>
      <c r="R29" s="207"/>
      <c r="S29" s="207"/>
      <c r="T29" s="207"/>
    </row>
    <row r="30" spans="1:20" ht="15.5" x14ac:dyDescent="0.35">
      <c r="B30" s="618"/>
      <c r="C30" s="618"/>
      <c r="D30" s="618"/>
      <c r="E30" s="618"/>
      <c r="F30" s="618"/>
      <c r="G30" s="618"/>
      <c r="H30" s="618"/>
      <c r="I30" s="618"/>
      <c r="J30" s="618"/>
      <c r="K30" s="618"/>
      <c r="L30" s="207"/>
      <c r="M30" s="207"/>
      <c r="N30" s="207"/>
      <c r="O30" s="207"/>
      <c r="P30" s="207"/>
      <c r="Q30" s="207"/>
      <c r="R30" s="207"/>
      <c r="S30" s="207"/>
      <c r="T30" s="207"/>
    </row>
    <row r="31" spans="1:20" ht="15.5" x14ac:dyDescent="0.35">
      <c r="B31" s="618"/>
      <c r="C31" s="618"/>
      <c r="D31" s="618"/>
      <c r="E31" s="618"/>
      <c r="F31" s="618"/>
      <c r="G31" s="618"/>
      <c r="H31" s="618"/>
      <c r="I31" s="618"/>
      <c r="J31" s="618"/>
      <c r="K31" s="618"/>
      <c r="L31" s="207"/>
      <c r="M31" s="207"/>
      <c r="N31" s="207"/>
      <c r="O31" s="207"/>
      <c r="P31" s="207"/>
      <c r="Q31" s="207"/>
      <c r="R31" s="207"/>
      <c r="S31" s="207"/>
      <c r="T31" s="207"/>
    </row>
    <row r="32" spans="1:20" ht="15.5" x14ac:dyDescent="0.35">
      <c r="B32" s="618"/>
      <c r="C32" s="618"/>
      <c r="D32" s="618"/>
      <c r="E32" s="618"/>
      <c r="F32" s="618"/>
      <c r="G32" s="618"/>
      <c r="H32" s="618"/>
      <c r="I32" s="618"/>
      <c r="J32" s="618"/>
      <c r="K32" s="618"/>
      <c r="L32" s="207"/>
      <c r="M32" s="207"/>
      <c r="N32" s="207"/>
      <c r="O32" s="207"/>
      <c r="P32" s="207"/>
      <c r="Q32" s="207"/>
      <c r="R32" s="207"/>
      <c r="S32" s="207"/>
      <c r="T32" s="207"/>
    </row>
    <row r="33" spans="2:15" ht="15.5" x14ac:dyDescent="0.35">
      <c r="B33" s="208"/>
    </row>
    <row r="34" spans="2:15" ht="15.5" x14ac:dyDescent="0.35">
      <c r="B34" s="206" t="s">
        <v>174</v>
      </c>
    </row>
    <row r="35" spans="2:15" ht="15" customHeight="1" x14ac:dyDescent="0.35">
      <c r="B35" s="618" t="s">
        <v>175</v>
      </c>
      <c r="C35" s="618"/>
      <c r="D35" s="618"/>
      <c r="E35" s="618"/>
      <c r="F35" s="618"/>
      <c r="G35" s="618"/>
      <c r="H35" s="618"/>
      <c r="I35" s="618"/>
      <c r="J35" s="618"/>
      <c r="K35" s="618"/>
    </row>
    <row r="36" spans="2:15" ht="15.75" customHeight="1" x14ac:dyDescent="0.35">
      <c r="B36" s="618"/>
      <c r="C36" s="618"/>
      <c r="D36" s="618"/>
      <c r="E36" s="618"/>
      <c r="F36" s="618"/>
      <c r="G36" s="618"/>
      <c r="H36" s="618"/>
      <c r="I36" s="618"/>
      <c r="J36" s="618"/>
      <c r="K36" s="618"/>
    </row>
    <row r="37" spans="2:15" ht="15.5" x14ac:dyDescent="0.35">
      <c r="B37" s="209"/>
    </row>
    <row r="38" spans="2:15" x14ac:dyDescent="0.35">
      <c r="B38" s="618" t="s">
        <v>176</v>
      </c>
      <c r="C38" s="618"/>
      <c r="D38" s="618"/>
      <c r="E38" s="618"/>
      <c r="F38" s="618"/>
      <c r="G38" s="618"/>
      <c r="H38" s="618"/>
      <c r="I38" s="618"/>
      <c r="J38" s="618"/>
      <c r="K38" s="618"/>
    </row>
    <row r="39" spans="2:15" x14ac:dyDescent="0.35">
      <c r="B39" s="618"/>
      <c r="C39" s="618"/>
      <c r="D39" s="618"/>
      <c r="E39" s="618"/>
      <c r="F39" s="618"/>
      <c r="G39" s="618"/>
      <c r="H39" s="618"/>
      <c r="I39" s="618"/>
      <c r="J39" s="618"/>
      <c r="K39" s="618"/>
    </row>
    <row r="40" spans="2:15" ht="15.5" x14ac:dyDescent="0.35">
      <c r="B40" s="210"/>
      <c r="C40" s="210"/>
      <c r="D40" s="210"/>
      <c r="E40" s="210"/>
      <c r="F40" s="210"/>
      <c r="G40" s="210"/>
      <c r="H40" s="210"/>
      <c r="I40" s="210"/>
      <c r="J40" s="210"/>
      <c r="K40" s="210"/>
    </row>
    <row r="41" spans="2:15" ht="15.5" x14ac:dyDescent="0.35">
      <c r="B41" s="206" t="s">
        <v>177</v>
      </c>
    </row>
    <row r="42" spans="2:15" ht="15.5" x14ac:dyDescent="0.35">
      <c r="B42" s="209" t="s">
        <v>178</v>
      </c>
      <c r="C42" s="63"/>
      <c r="D42" s="63"/>
      <c r="E42" s="63"/>
    </row>
    <row r="43" spans="2:15" ht="15.5" x14ac:dyDescent="0.35">
      <c r="B43" s="209" t="s">
        <v>179</v>
      </c>
      <c r="C43" s="63"/>
      <c r="D43" s="63"/>
      <c r="E43" s="63"/>
    </row>
    <row r="44" spans="2:15" ht="15.5" x14ac:dyDescent="0.35">
      <c r="B44" s="209" t="s">
        <v>180</v>
      </c>
      <c r="C44" s="63"/>
      <c r="D44" s="63"/>
      <c r="E44" s="63"/>
    </row>
    <row r="45" spans="2:15" ht="15.5" x14ac:dyDescent="0.35">
      <c r="B45" s="209" t="s">
        <v>181</v>
      </c>
      <c r="C45" s="63"/>
      <c r="D45" s="63"/>
      <c r="E45" s="63"/>
    </row>
    <row r="46" spans="2:15" ht="15.75" customHeight="1" x14ac:dyDescent="0.35">
      <c r="B46" s="209" t="s">
        <v>184</v>
      </c>
      <c r="C46" s="63"/>
      <c r="D46" s="63"/>
      <c r="E46" s="63"/>
      <c r="F46" s="209"/>
      <c r="G46" s="209"/>
      <c r="H46" s="209"/>
      <c r="I46" s="209"/>
      <c r="J46" s="209"/>
      <c r="K46" s="209"/>
      <c r="L46" s="209"/>
      <c r="M46" s="209"/>
      <c r="N46" s="209"/>
      <c r="O46" s="209"/>
    </row>
    <row r="47" spans="2:15" ht="15.75" customHeight="1" x14ac:dyDescent="0.4">
      <c r="B47" s="209"/>
      <c r="D47" s="458" t="s">
        <v>185</v>
      </c>
      <c r="E47" s="63"/>
      <c r="F47" s="209"/>
      <c r="G47" s="209"/>
      <c r="H47" s="209"/>
      <c r="I47" s="209"/>
      <c r="J47" s="209"/>
      <c r="K47" s="209"/>
      <c r="L47" s="209"/>
      <c r="M47" s="209"/>
      <c r="N47" s="209"/>
      <c r="O47" s="209"/>
    </row>
    <row r="48" spans="2:15" ht="15.5" x14ac:dyDescent="0.35">
      <c r="B48" s="209" t="s">
        <v>182</v>
      </c>
      <c r="C48" s="63"/>
      <c r="D48" s="63"/>
      <c r="E48" s="63"/>
    </row>
    <row r="49" spans="2:16" ht="15.75" customHeight="1" x14ac:dyDescent="0.35">
      <c r="B49" s="209" t="s">
        <v>374</v>
      </c>
      <c r="C49" s="63"/>
      <c r="D49" s="63"/>
      <c r="E49" s="63"/>
      <c r="F49" s="209"/>
      <c r="G49" s="209"/>
      <c r="H49" s="209"/>
      <c r="I49" s="209"/>
      <c r="J49" s="209"/>
      <c r="K49" s="209"/>
      <c r="L49" s="209"/>
      <c r="M49" s="209"/>
      <c r="N49" s="209"/>
      <c r="O49" s="209"/>
      <c r="P49" s="209"/>
    </row>
    <row r="50" spans="2:16" ht="15.5" x14ac:dyDescent="0.35">
      <c r="B50" s="209" t="s">
        <v>183</v>
      </c>
      <c r="C50" s="63"/>
      <c r="D50" s="63"/>
    </row>
    <row r="51" spans="2:16" ht="17" x14ac:dyDescent="0.4">
      <c r="B51" s="209" t="s">
        <v>203</v>
      </c>
      <c r="C51" s="458" t="s">
        <v>204</v>
      </c>
      <c r="D51" s="63"/>
    </row>
    <row r="52" spans="2:16" ht="17.5" x14ac:dyDescent="0.35">
      <c r="C52" s="217" t="s">
        <v>195</v>
      </c>
      <c r="D52" s="217"/>
      <c r="E52" s="217"/>
      <c r="F52" s="217"/>
      <c r="G52" s="217"/>
      <c r="H52" s="217"/>
    </row>
    <row r="53" spans="2:16" x14ac:dyDescent="0.35">
      <c r="C53" s="211" t="s">
        <v>186</v>
      </c>
      <c r="F53" s="212" t="s">
        <v>199</v>
      </c>
      <c r="G53" s="213"/>
      <c r="H53" s="213"/>
    </row>
    <row r="54" spans="2:16" x14ac:dyDescent="0.35">
      <c r="C54" s="196" t="s">
        <v>187</v>
      </c>
      <c r="F54" s="214" t="s">
        <v>196</v>
      </c>
      <c r="G54" s="215"/>
      <c r="H54" s="215"/>
    </row>
    <row r="55" spans="2:16" x14ac:dyDescent="0.35">
      <c r="C55" s="196" t="s">
        <v>188</v>
      </c>
      <c r="F55" s="214" t="s">
        <v>197</v>
      </c>
      <c r="G55" s="215"/>
      <c r="H55" s="215"/>
    </row>
    <row r="56" spans="2:16" x14ac:dyDescent="0.35">
      <c r="C56" s="196" t="s">
        <v>189</v>
      </c>
      <c r="F56" s="214" t="s">
        <v>200</v>
      </c>
      <c r="G56" s="215"/>
      <c r="H56" s="215"/>
    </row>
    <row r="57" spans="2:16" x14ac:dyDescent="0.35">
      <c r="C57" s="196" t="s">
        <v>190</v>
      </c>
      <c r="F57" s="214" t="s">
        <v>198</v>
      </c>
      <c r="G57" s="215"/>
      <c r="H57" s="215"/>
    </row>
    <row r="58" spans="2:16" s="53" customFormat="1" x14ac:dyDescent="0.35">
      <c r="C58" s="220" t="s">
        <v>191</v>
      </c>
      <c r="F58" s="221" t="s">
        <v>201</v>
      </c>
      <c r="G58" s="216"/>
      <c r="H58" s="216"/>
    </row>
    <row r="59" spans="2:16" x14ac:dyDescent="0.35">
      <c r="C59" s="196" t="s">
        <v>192</v>
      </c>
      <c r="F59" s="214" t="s">
        <v>202</v>
      </c>
      <c r="G59" s="216"/>
      <c r="H59" s="216"/>
    </row>
    <row r="60" spans="2:16" s="53" customFormat="1" x14ac:dyDescent="0.35">
      <c r="C60" s="220" t="s">
        <v>193</v>
      </c>
      <c r="F60" s="221" t="s">
        <v>194</v>
      </c>
      <c r="G60" s="216"/>
      <c r="H60" s="216"/>
    </row>
    <row r="61" spans="2:16" x14ac:dyDescent="0.35">
      <c r="C61" s="219" t="s">
        <v>210</v>
      </c>
      <c r="D61" s="53"/>
      <c r="E61" s="53"/>
      <c r="F61" s="212" t="s">
        <v>211</v>
      </c>
      <c r="G61" s="216"/>
      <c r="H61" s="216"/>
    </row>
    <row r="65" spans="3:18" x14ac:dyDescent="0.35">
      <c r="C65" s="619" t="s">
        <v>419</v>
      </c>
      <c r="D65" s="619"/>
      <c r="E65" s="619"/>
      <c r="F65" s="619"/>
      <c r="G65" s="619"/>
      <c r="H65" s="619"/>
      <c r="I65" s="619"/>
      <c r="J65" s="619"/>
      <c r="K65" s="619"/>
      <c r="L65" s="619"/>
      <c r="M65" s="619"/>
      <c r="N65" s="619"/>
      <c r="O65" s="619"/>
      <c r="P65" s="619"/>
      <c r="Q65" s="619"/>
      <c r="R65" s="619"/>
    </row>
    <row r="66" spans="3:18" x14ac:dyDescent="0.35">
      <c r="C66" s="619"/>
      <c r="D66" s="619"/>
      <c r="E66" s="619"/>
      <c r="F66" s="619"/>
      <c r="G66" s="619"/>
      <c r="H66" s="619"/>
      <c r="I66" s="619"/>
      <c r="J66" s="619"/>
      <c r="K66" s="619"/>
      <c r="L66" s="619"/>
      <c r="M66" s="619"/>
      <c r="N66" s="619"/>
      <c r="O66" s="619"/>
      <c r="P66" s="619"/>
      <c r="Q66" s="619"/>
      <c r="R66" s="619"/>
    </row>
  </sheetData>
  <sheetProtection algorithmName="SHA-512" hashValue="qEh4yHPIH/01rJ6g3LSqOsFDVRaHnMdVNDoL4XCYHJR6l0zhy+5IeGi41q67/G0kUABYPPbR5bVFxkWZOvs+Lg==" saltValue="bSj9TNDuEiEyqgaG/U5IdQ==" spinCount="100000" sheet="1" objects="1" scenarios="1"/>
  <mergeCells count="4">
    <mergeCell ref="B29:K32"/>
    <mergeCell ref="B35:K36"/>
    <mergeCell ref="B38:K39"/>
    <mergeCell ref="C65:R66"/>
  </mergeCells>
  <pageMargins left="0.70866141732283472" right="0.70866141732283472" top="0.74803149606299213" bottom="0.74803149606299213" header="0.31496062992125984" footer="0.31496062992125984"/>
  <pageSetup scale="45" orientation="landscape" r:id="rId1"/>
  <headerFooter>
    <oddHeader>&amp;L&amp;A&amp;R&amp;N</oddHeader>
    <oddFooter>&amp;R&amp;Z&amp;F</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87"/>
  <sheetViews>
    <sheetView zoomScale="80" zoomScaleNormal="80" workbookViewId="0">
      <pane xSplit="7" ySplit="4" topLeftCell="M5" activePane="bottomRight" state="frozen"/>
      <selection activeCell="S15" sqref="S15"/>
      <selection pane="topRight" activeCell="S15" sqref="S15"/>
      <selection pane="bottomLeft" activeCell="S15" sqref="S15"/>
      <selection pane="bottomRight" activeCell="S15" sqref="S15"/>
    </sheetView>
  </sheetViews>
  <sheetFormatPr defaultRowHeight="14.5" outlineLevelRow="1" outlineLevelCol="7" x14ac:dyDescent="0.35"/>
  <cols>
    <col min="1" max="1" width="2.54296875" customWidth="1"/>
    <col min="2" max="2" width="14.81640625" customWidth="1"/>
    <col min="3" max="3" width="11.453125" customWidth="1"/>
    <col min="4" max="4" width="3.26953125" bestFit="1" customWidth="1"/>
    <col min="5" max="5" width="16.26953125" hidden="1" customWidth="1" outlineLevel="1"/>
    <col min="6" max="6" width="8" hidden="1" customWidth="1" outlineLevel="1" collapsed="1"/>
    <col min="7" max="7" width="8.81640625" customWidth="1" collapsed="1"/>
    <col min="8" max="8" width="10.7265625" customWidth="1" outlineLevel="2"/>
    <col min="9" max="9" width="12.1796875" customWidth="1" outlineLevel="1"/>
    <col min="10" max="12" width="11.54296875" customWidth="1" outlineLevel="1"/>
    <col min="13" max="13" width="10" customWidth="1" outlineLevel="2"/>
    <col min="14" max="14" width="13.54296875" customWidth="1" outlineLevel="2"/>
    <col min="15" max="15" width="10.26953125" customWidth="1" outlineLevel="2"/>
    <col min="16" max="16" width="9.453125" customWidth="1" outlineLevel="2"/>
    <col min="17" max="17" width="9.453125" customWidth="1" outlineLevel="2" collapsed="1"/>
    <col min="18" max="18" width="9.81640625" customWidth="1" outlineLevel="3"/>
    <col min="19" max="19" width="12.1796875" customWidth="1" outlineLevel="2"/>
    <col min="20" max="20" width="11.453125" customWidth="1" outlineLevel="2"/>
    <col min="21" max="21" width="2" customWidth="1" outlineLevel="1"/>
    <col min="22" max="22" width="11.26953125" customWidth="1" outlineLevel="1"/>
    <col min="23" max="23" width="9.7265625" hidden="1" customWidth="1" outlineLevel="3"/>
    <col min="24" max="24" width="9.7265625" hidden="1" customWidth="1" outlineLevel="3" collapsed="1"/>
    <col min="25" max="25" width="17.26953125" customWidth="1" outlineLevel="2" collapsed="1"/>
    <col min="26" max="26" width="8.81640625" customWidth="1" outlineLevel="2"/>
    <col min="27" max="27" width="10.1796875" customWidth="1" outlineLevel="2"/>
    <col min="28" max="28" width="10.26953125" hidden="1" customWidth="1" outlineLevel="3"/>
    <col min="29" max="29" width="2.453125" customWidth="1" outlineLevel="2" collapsed="1"/>
    <col min="30" max="30" width="15.453125" customWidth="1" outlineLevel="2"/>
    <col min="31" max="31" width="7.54296875" customWidth="1" outlineLevel="2"/>
    <col min="32" max="32" width="8.54296875" customWidth="1" outlineLevel="2"/>
    <col min="33" max="33" width="9.453125" hidden="1" customWidth="1" outlineLevel="7"/>
    <col min="34" max="34" width="2.26953125" customWidth="1" outlineLevel="2" collapsed="1"/>
    <col min="35" max="35" width="10.1796875" customWidth="1" outlineLevel="1"/>
    <col min="36" max="36" width="10.26953125" hidden="1" customWidth="1" outlineLevel="2"/>
    <col min="37" max="37" width="3.54296875" customWidth="1" outlineLevel="1" collapsed="1"/>
    <col min="38" max="38" width="3" style="53" customWidth="1" outlineLevel="1"/>
    <col min="39" max="39" width="34.1796875" bestFit="1" customWidth="1"/>
    <col min="41" max="41" width="31" bestFit="1" customWidth="1"/>
    <col min="42" max="42" width="9.81640625" bestFit="1" customWidth="1"/>
    <col min="44" max="44" width="9.81640625" bestFit="1" customWidth="1"/>
  </cols>
  <sheetData>
    <row r="1" spans="1:41" x14ac:dyDescent="0.35">
      <c r="B1" t="s">
        <v>303</v>
      </c>
    </row>
    <row r="2" spans="1:41" ht="81.75" customHeight="1" outlineLevel="1" x14ac:dyDescent="0.35">
      <c r="B2" s="88" t="s">
        <v>18</v>
      </c>
      <c r="C2" s="89"/>
      <c r="D2" s="89"/>
      <c r="E2" s="89"/>
      <c r="F2" s="49" t="s">
        <v>52</v>
      </c>
      <c r="G2" s="49" t="s">
        <v>19</v>
      </c>
      <c r="H2" s="90" t="s">
        <v>273</v>
      </c>
      <c r="I2" s="49" t="s">
        <v>270</v>
      </c>
      <c r="J2" s="102" t="s">
        <v>69</v>
      </c>
      <c r="K2" s="49" t="s">
        <v>261</v>
      </c>
      <c r="L2" s="102" t="s">
        <v>262</v>
      </c>
      <c r="M2" s="49" t="s">
        <v>240</v>
      </c>
      <c r="N2" s="102" t="s">
        <v>241</v>
      </c>
      <c r="O2" s="49" t="s">
        <v>242</v>
      </c>
      <c r="P2" s="102" t="s">
        <v>243</v>
      </c>
      <c r="Q2" s="49" t="s">
        <v>244</v>
      </c>
      <c r="R2" s="102" t="s">
        <v>253</v>
      </c>
      <c r="S2" s="49" t="s">
        <v>271</v>
      </c>
      <c r="T2" s="102" t="s">
        <v>272</v>
      </c>
      <c r="U2" s="102"/>
      <c r="V2" s="100" t="s">
        <v>57</v>
      </c>
      <c r="W2" s="49" t="s">
        <v>65</v>
      </c>
      <c r="X2" s="49" t="s">
        <v>66</v>
      </c>
      <c r="Y2" s="653" t="s">
        <v>27</v>
      </c>
      <c r="Z2" s="653"/>
      <c r="AA2" s="653"/>
      <c r="AB2" s="653"/>
      <c r="AC2" s="7"/>
      <c r="AD2" s="653" t="s">
        <v>38</v>
      </c>
      <c r="AE2" s="653"/>
      <c r="AF2" s="653"/>
      <c r="AG2" s="7"/>
      <c r="AH2" s="7"/>
      <c r="AI2" s="100" t="s">
        <v>58</v>
      </c>
      <c r="AJ2" s="91" t="s">
        <v>67</v>
      </c>
      <c r="AL2" s="73"/>
      <c r="AM2" s="18" t="s">
        <v>154</v>
      </c>
    </row>
    <row r="3" spans="1:41" ht="29" outlineLevel="1" x14ac:dyDescent="0.35">
      <c r="A3" s="13"/>
      <c r="B3" s="46"/>
      <c r="C3" s="108" t="s">
        <v>21</v>
      </c>
      <c r="D3" s="86"/>
      <c r="E3" s="47"/>
      <c r="F3" s="49"/>
      <c r="G3" s="49"/>
      <c r="H3" s="49"/>
      <c r="I3" s="87">
        <v>15.8</v>
      </c>
      <c r="J3" s="103" t="s">
        <v>68</v>
      </c>
      <c r="K3" s="87">
        <v>15.8</v>
      </c>
      <c r="L3" s="103" t="s">
        <v>68</v>
      </c>
      <c r="M3" s="289">
        <v>15.8</v>
      </c>
      <c r="N3" s="103" t="s">
        <v>59</v>
      </c>
      <c r="O3" s="289">
        <v>15.8</v>
      </c>
      <c r="P3" s="103" t="s">
        <v>60</v>
      </c>
      <c r="Q3" s="289">
        <f>R26</f>
        <v>23.33</v>
      </c>
      <c r="R3" s="103" t="s">
        <v>61</v>
      </c>
      <c r="S3" s="87">
        <v>15.8</v>
      </c>
      <c r="T3" s="103" t="s">
        <v>62</v>
      </c>
      <c r="U3" s="103"/>
      <c r="V3" s="23"/>
      <c r="W3" s="7"/>
      <c r="X3" s="7"/>
      <c r="Y3" s="48" t="s">
        <v>0</v>
      </c>
      <c r="Z3" s="48" t="s">
        <v>28</v>
      </c>
      <c r="AA3" s="49" t="s">
        <v>63</v>
      </c>
      <c r="AB3" s="49" t="s">
        <v>64</v>
      </c>
      <c r="AC3" s="7"/>
      <c r="AD3" s="48" t="s">
        <v>0</v>
      </c>
      <c r="AE3" s="48" t="s">
        <v>28</v>
      </c>
      <c r="AF3" s="49" t="s">
        <v>63</v>
      </c>
      <c r="AG3" s="49" t="s">
        <v>64</v>
      </c>
      <c r="AH3" s="11"/>
      <c r="AI3" s="95"/>
      <c r="AJ3" s="50"/>
      <c r="AK3" s="53"/>
      <c r="AO3" s="13"/>
    </row>
    <row r="4" spans="1:41" x14ac:dyDescent="0.35">
      <c r="B4" s="92" t="s">
        <v>53</v>
      </c>
      <c r="C4" s="35"/>
      <c r="D4" s="35"/>
      <c r="E4" s="35"/>
      <c r="F4" s="35"/>
      <c r="G4" s="35"/>
      <c r="H4" s="93" t="s">
        <v>5</v>
      </c>
      <c r="I4" s="36" t="s">
        <v>256</v>
      </c>
      <c r="J4" s="36" t="s">
        <v>257</v>
      </c>
      <c r="K4" s="36"/>
      <c r="L4" s="36"/>
      <c r="M4" s="36" t="s">
        <v>256</v>
      </c>
      <c r="N4" s="36" t="s">
        <v>257</v>
      </c>
      <c r="O4" s="36" t="s">
        <v>256</v>
      </c>
      <c r="P4" s="36" t="s">
        <v>257</v>
      </c>
      <c r="Q4" s="36" t="s">
        <v>256</v>
      </c>
      <c r="R4" s="36" t="s">
        <v>257</v>
      </c>
      <c r="S4" s="36" t="s">
        <v>256</v>
      </c>
      <c r="T4" s="36" t="s">
        <v>257</v>
      </c>
      <c r="U4" s="36"/>
      <c r="V4" s="98"/>
      <c r="W4" s="36"/>
      <c r="X4" s="36"/>
      <c r="Y4" s="36"/>
      <c r="Z4" s="36"/>
      <c r="AA4" s="36"/>
      <c r="AB4" s="36"/>
      <c r="AC4" s="36"/>
      <c r="AD4" s="36"/>
      <c r="AE4" s="36"/>
      <c r="AF4" s="36"/>
      <c r="AG4" s="36"/>
      <c r="AH4" s="36"/>
      <c r="AI4" s="98"/>
      <c r="AJ4" s="94"/>
      <c r="AK4" s="53"/>
    </row>
    <row r="5" spans="1:41" x14ac:dyDescent="0.35">
      <c r="A5" s="24"/>
      <c r="B5" s="449" t="s">
        <v>158</v>
      </c>
      <c r="C5" s="450"/>
      <c r="D5" s="450"/>
      <c r="E5" s="450"/>
      <c r="F5" s="450"/>
      <c r="G5" s="451">
        <v>1</v>
      </c>
      <c r="H5" s="78"/>
      <c r="I5" s="79">
        <v>0.3</v>
      </c>
      <c r="J5" s="79">
        <f>I5*G5</f>
        <v>0.3</v>
      </c>
      <c r="K5" s="79"/>
      <c r="L5" s="79"/>
      <c r="M5" s="79"/>
      <c r="N5" s="79">
        <f t="shared" ref="N5:N21" si="0">M5*G5</f>
        <v>0</v>
      </c>
      <c r="O5" s="79"/>
      <c r="P5" s="79">
        <f>O5*G5</f>
        <v>0</v>
      </c>
      <c r="Q5" s="79"/>
      <c r="R5" s="79">
        <f t="shared" ref="R5:R13" si="1">Q5*G5</f>
        <v>0</v>
      </c>
      <c r="S5" s="79"/>
      <c r="T5" s="79">
        <f t="shared" ref="T5:T20" si="2">S5*G5</f>
        <v>0</v>
      </c>
      <c r="U5" s="79"/>
      <c r="V5" s="194">
        <f>((I5*G5)*I$3)+((M5*G5)*M$3)+((O5*G5)*O$3)+((Q5*G5)*Q$3)</f>
        <v>4.74</v>
      </c>
      <c r="W5" s="79"/>
      <c r="X5" s="79">
        <f>V5</f>
        <v>4.74</v>
      </c>
      <c r="Y5" s="75" t="s">
        <v>106</v>
      </c>
      <c r="Z5" s="75">
        <v>0.25</v>
      </c>
      <c r="AA5" s="75">
        <f>VLOOKUP(Y5,Table3[],9)*Z5</f>
        <v>3.85379192625</v>
      </c>
      <c r="AB5" s="75" t="e">
        <f>VLOOKUP($Y5,#REF!,4)*$Z5</f>
        <v>#REF!</v>
      </c>
      <c r="AC5" s="75"/>
      <c r="AD5" s="75" t="s">
        <v>56</v>
      </c>
      <c r="AE5" s="75">
        <f>Z5</f>
        <v>0.25</v>
      </c>
      <c r="AF5" s="75">
        <f>VLOOKUP(AD5,Table3[],9)*AE5</f>
        <v>7.5381084212743935E-2</v>
      </c>
      <c r="AG5" s="75" t="e">
        <f>VLOOKUP($AD5,#REF!,4)*$AE5</f>
        <v>#REF!</v>
      </c>
      <c r="AH5" s="75"/>
      <c r="AI5" s="96">
        <f>AF5+AA5</f>
        <v>3.929173010462744</v>
      </c>
      <c r="AJ5" s="34"/>
      <c r="AK5" s="101"/>
    </row>
    <row r="6" spans="1:41" x14ac:dyDescent="0.35">
      <c r="A6" s="24"/>
      <c r="B6" s="76" t="s">
        <v>159</v>
      </c>
      <c r="C6" s="77"/>
      <c r="D6" s="77"/>
      <c r="E6" s="77"/>
      <c r="F6" s="77"/>
      <c r="G6" s="452">
        <v>1</v>
      </c>
      <c r="H6" s="78"/>
      <c r="I6" s="79"/>
      <c r="J6" s="79"/>
      <c r="K6" s="79">
        <f>L25</f>
        <v>2</v>
      </c>
      <c r="L6" s="79">
        <f>G6*K6</f>
        <v>2</v>
      </c>
      <c r="M6" s="79"/>
      <c r="N6" s="79">
        <f t="shared" si="0"/>
        <v>0</v>
      </c>
      <c r="O6" s="79"/>
      <c r="P6" s="79">
        <f>O6*G6</f>
        <v>0</v>
      </c>
      <c r="Q6" s="79"/>
      <c r="R6" s="79">
        <f t="shared" si="1"/>
        <v>0</v>
      </c>
      <c r="S6" s="79"/>
      <c r="T6" s="79">
        <f t="shared" si="2"/>
        <v>0</v>
      </c>
      <c r="U6" s="79"/>
      <c r="V6" s="97">
        <f>((I6*G6)*I$3)+((M6*G6)*M$3)+((O6*G6)*O$3)+((Q6*G6)*Q$3)</f>
        <v>0</v>
      </c>
      <c r="W6" s="79"/>
      <c r="X6" s="79">
        <f>V6</f>
        <v>0</v>
      </c>
      <c r="Y6" s="79"/>
      <c r="Z6" s="79"/>
      <c r="AA6" s="79"/>
      <c r="AB6" s="79" t="e">
        <f>VLOOKUP($Y6,#REF!,4)*$Z6</f>
        <v>#REF!</v>
      </c>
      <c r="AC6" s="79"/>
      <c r="AD6" s="79"/>
      <c r="AE6" s="79"/>
      <c r="AF6" s="79"/>
      <c r="AG6" s="79"/>
      <c r="AH6" s="79"/>
      <c r="AI6" s="97"/>
      <c r="AJ6" s="34"/>
      <c r="AK6" s="101"/>
    </row>
    <row r="7" spans="1:41" x14ac:dyDescent="0.35">
      <c r="A7" s="24"/>
      <c r="B7" s="76" t="s">
        <v>155</v>
      </c>
      <c r="C7" s="77"/>
      <c r="D7" s="77"/>
      <c r="E7" s="77"/>
      <c r="F7" s="77"/>
      <c r="G7" s="452">
        <v>3</v>
      </c>
      <c r="H7" s="78"/>
      <c r="I7" s="79">
        <v>0.25</v>
      </c>
      <c r="J7" s="79">
        <f t="shared" ref="J7:J21" si="3">I7*G7</f>
        <v>0.75</v>
      </c>
      <c r="K7" s="79"/>
      <c r="L7" s="79"/>
      <c r="M7" s="79"/>
      <c r="N7" s="79">
        <f t="shared" si="0"/>
        <v>0</v>
      </c>
      <c r="O7" s="79"/>
      <c r="P7" s="79">
        <f>O7*G7</f>
        <v>0</v>
      </c>
      <c r="Q7" s="79"/>
      <c r="R7" s="79">
        <f t="shared" si="1"/>
        <v>0</v>
      </c>
      <c r="S7" s="79"/>
      <c r="T7" s="79">
        <f t="shared" si="2"/>
        <v>0</v>
      </c>
      <c r="U7" s="79"/>
      <c r="V7" s="97">
        <f>((I7*G7)*I$3)+((M7*G7)*M$3)+((O7*G7)*O$3)+((Q7*G7)*Q$3)</f>
        <v>11.850000000000001</v>
      </c>
      <c r="W7" s="79">
        <f>V7</f>
        <v>11.850000000000001</v>
      </c>
      <c r="X7" s="79"/>
      <c r="Y7" s="75" t="s">
        <v>106</v>
      </c>
      <c r="Z7" s="75">
        <f>0.75*G7</f>
        <v>2.25</v>
      </c>
      <c r="AA7" s="75">
        <f>VLOOKUP(Y7,Table3[],9)*Z7</f>
        <v>34.68412733625</v>
      </c>
      <c r="AB7" s="75"/>
      <c r="AC7" s="75"/>
      <c r="AD7" s="75" t="s">
        <v>109</v>
      </c>
      <c r="AE7" s="75">
        <f>Z7</f>
        <v>2.25</v>
      </c>
      <c r="AF7" s="75">
        <f>VLOOKUP(AD7,Table3[],9)*AE7</f>
        <v>1.182934178623952</v>
      </c>
      <c r="AG7" s="75"/>
      <c r="AH7" s="75"/>
      <c r="AI7" s="96">
        <f>AF7+AA7</f>
        <v>35.867061514873953</v>
      </c>
      <c r="AJ7" s="80"/>
      <c r="AK7" s="101"/>
    </row>
    <row r="8" spans="1:41" x14ac:dyDescent="0.35">
      <c r="B8" s="76" t="s">
        <v>207</v>
      </c>
      <c r="C8" s="77"/>
      <c r="D8" s="77"/>
      <c r="E8" s="77"/>
      <c r="F8" s="77"/>
      <c r="G8" s="452">
        <v>1</v>
      </c>
      <c r="H8" s="78"/>
      <c r="I8" s="79"/>
      <c r="J8" s="79"/>
      <c r="K8" s="79"/>
      <c r="L8" s="79"/>
      <c r="M8" s="79">
        <f>(N25*N26)/60</f>
        <v>72.599999999999994</v>
      </c>
      <c r="N8" s="79">
        <f t="shared" si="0"/>
        <v>72.599999999999994</v>
      </c>
      <c r="O8" s="79"/>
      <c r="P8" s="79">
        <f>O8*G8</f>
        <v>0</v>
      </c>
      <c r="Q8" s="79"/>
      <c r="R8" s="79">
        <f t="shared" si="1"/>
        <v>0</v>
      </c>
      <c r="S8" s="79"/>
      <c r="T8" s="79">
        <f t="shared" si="2"/>
        <v>0</v>
      </c>
      <c r="U8" s="79"/>
      <c r="V8" s="97"/>
      <c r="W8" s="79">
        <f>V8</f>
        <v>0</v>
      </c>
      <c r="X8" s="79"/>
      <c r="Y8" s="75" t="s">
        <v>108</v>
      </c>
      <c r="Z8" s="75">
        <f>117.6*G8</f>
        <v>117.6</v>
      </c>
      <c r="AA8" s="75">
        <f>VLOOKUP(Y8,Table3[],9)*Z8</f>
        <v>49.007332655988961</v>
      </c>
      <c r="AB8" s="75"/>
      <c r="AC8" s="75"/>
      <c r="AD8" s="75"/>
      <c r="AE8" s="75"/>
      <c r="AF8" s="75"/>
      <c r="AG8" s="75"/>
      <c r="AH8" s="75"/>
      <c r="AI8" s="96">
        <f>AF8+AA8</f>
        <v>49.007332655988961</v>
      </c>
      <c r="AJ8" s="34"/>
      <c r="AK8" s="62"/>
    </row>
    <row r="9" spans="1:41" x14ac:dyDescent="0.35">
      <c r="B9" s="76" t="s">
        <v>205</v>
      </c>
      <c r="C9" s="77"/>
      <c r="D9" s="77"/>
      <c r="E9" s="77"/>
      <c r="F9" s="77"/>
      <c r="G9" s="452">
        <v>1</v>
      </c>
      <c r="H9" s="78"/>
      <c r="I9" s="79"/>
      <c r="J9" s="79"/>
      <c r="K9" s="79"/>
      <c r="L9" s="79"/>
      <c r="M9" s="79"/>
      <c r="N9" s="79">
        <f t="shared" si="0"/>
        <v>0</v>
      </c>
      <c r="O9" s="79">
        <f>P25</f>
        <v>45</v>
      </c>
      <c r="P9" s="79">
        <f>O9*$G9</f>
        <v>45</v>
      </c>
      <c r="Q9" s="79"/>
      <c r="R9" s="79">
        <f t="shared" si="1"/>
        <v>0</v>
      </c>
      <c r="S9" s="79"/>
      <c r="T9" s="79">
        <f t="shared" si="2"/>
        <v>0</v>
      </c>
      <c r="U9" s="79"/>
      <c r="V9" s="97"/>
      <c r="W9" s="79"/>
      <c r="X9" s="79"/>
      <c r="Y9" s="75"/>
      <c r="Z9" s="75"/>
      <c r="AA9" s="75"/>
      <c r="AB9" s="75"/>
      <c r="AC9" s="75"/>
      <c r="AD9" s="75"/>
      <c r="AE9" s="75"/>
      <c r="AF9" s="75"/>
      <c r="AG9" s="75"/>
      <c r="AH9" s="75"/>
      <c r="AI9" s="96"/>
      <c r="AJ9" s="34"/>
      <c r="AK9" s="62"/>
    </row>
    <row r="10" spans="1:41" x14ac:dyDescent="0.35">
      <c r="B10" s="76" t="s">
        <v>111</v>
      </c>
      <c r="C10" s="77"/>
      <c r="D10" s="77"/>
      <c r="E10" s="77"/>
      <c r="F10" s="77"/>
      <c r="G10" s="452">
        <v>4</v>
      </c>
      <c r="H10" s="78"/>
      <c r="I10" s="79">
        <v>0.75</v>
      </c>
      <c r="J10" s="79">
        <f t="shared" si="3"/>
        <v>3</v>
      </c>
      <c r="K10" s="79"/>
      <c r="L10" s="79"/>
      <c r="M10" s="79"/>
      <c r="N10" s="79">
        <f t="shared" si="0"/>
        <v>0</v>
      </c>
      <c r="O10" s="79"/>
      <c r="P10" s="79">
        <f t="shared" ref="P10:P20" si="4">O10*G10</f>
        <v>0</v>
      </c>
      <c r="Q10" s="79"/>
      <c r="R10" s="79">
        <f t="shared" si="1"/>
        <v>0</v>
      </c>
      <c r="S10" s="79"/>
      <c r="T10" s="79">
        <f t="shared" si="2"/>
        <v>0</v>
      </c>
      <c r="U10" s="79"/>
      <c r="V10" s="97">
        <f t="shared" ref="V10:V15" si="5">((I10*G10)*I$3)+((M10*G10)*M$3)+((O10*G10)*O$3)+((Q10*G10)*Q$3)</f>
        <v>47.400000000000006</v>
      </c>
      <c r="W10" s="79">
        <f>V10</f>
        <v>47.400000000000006</v>
      </c>
      <c r="X10" s="79"/>
      <c r="Y10" s="75" t="s">
        <v>106</v>
      </c>
      <c r="Z10" s="75">
        <f>0.75*G10</f>
        <v>3</v>
      </c>
      <c r="AA10" s="75">
        <f>VLOOKUP(Y10,Table3[],9)*Z10</f>
        <v>46.245503114999998</v>
      </c>
      <c r="AB10" s="75"/>
      <c r="AC10" s="75"/>
      <c r="AD10" s="75" t="s">
        <v>112</v>
      </c>
      <c r="AE10" s="75">
        <f>Z10</f>
        <v>3</v>
      </c>
      <c r="AF10" s="75">
        <f>VLOOKUP(AD10,Table3[],9)*AE10</f>
        <v>1.5197847743618396</v>
      </c>
      <c r="AG10" s="75"/>
      <c r="AH10" s="75"/>
      <c r="AI10" s="96">
        <f>AF10+AA10</f>
        <v>47.765287889361836</v>
      </c>
      <c r="AJ10" s="34"/>
      <c r="AK10" s="62"/>
    </row>
    <row r="11" spans="1:41" x14ac:dyDescent="0.35">
      <c r="B11" s="76" t="s">
        <v>317</v>
      </c>
      <c r="C11" s="77"/>
      <c r="D11" s="77"/>
      <c r="E11" s="77"/>
      <c r="F11" s="77"/>
      <c r="G11" s="452">
        <v>12</v>
      </c>
      <c r="H11" s="78"/>
      <c r="I11" s="79">
        <v>0.75</v>
      </c>
      <c r="J11" s="79">
        <f t="shared" si="3"/>
        <v>9</v>
      </c>
      <c r="K11" s="79"/>
      <c r="L11" s="79"/>
      <c r="M11" s="79"/>
      <c r="N11" s="79">
        <f t="shared" si="0"/>
        <v>0</v>
      </c>
      <c r="O11" s="79"/>
      <c r="P11" s="79">
        <f t="shared" si="4"/>
        <v>0</v>
      </c>
      <c r="Q11" s="79"/>
      <c r="R11" s="79">
        <f t="shared" si="1"/>
        <v>0</v>
      </c>
      <c r="S11" s="79"/>
      <c r="T11" s="79">
        <f t="shared" si="2"/>
        <v>0</v>
      </c>
      <c r="U11" s="79"/>
      <c r="V11" s="97">
        <f t="shared" si="5"/>
        <v>142.20000000000002</v>
      </c>
      <c r="W11" s="79"/>
      <c r="X11" s="79"/>
      <c r="Y11" s="75" t="s">
        <v>106</v>
      </c>
      <c r="Z11" s="75">
        <f>0.75*G11</f>
        <v>9</v>
      </c>
      <c r="AA11" s="75">
        <f>VLOOKUP(Y11,Table3[],9)*Z11</f>
        <v>138.736509345</v>
      </c>
      <c r="AB11" s="75"/>
      <c r="AC11" s="75"/>
      <c r="AD11" s="75" t="s">
        <v>110</v>
      </c>
      <c r="AE11" s="75">
        <f>Z11</f>
        <v>9</v>
      </c>
      <c r="AF11" s="75">
        <f>VLOOKUP(AD11,Table3[],9)*AE11</f>
        <v>77.949033670817244</v>
      </c>
      <c r="AG11" s="75"/>
      <c r="AH11" s="75"/>
      <c r="AI11" s="96">
        <f>AF11+AA11</f>
        <v>216.68554301581725</v>
      </c>
      <c r="AJ11" s="34"/>
      <c r="AK11" s="62"/>
    </row>
    <row r="12" spans="1:41" x14ac:dyDescent="0.35">
      <c r="B12" s="76" t="s">
        <v>156</v>
      </c>
      <c r="C12" s="77"/>
      <c r="D12" s="77"/>
      <c r="E12" s="77"/>
      <c r="F12" s="77"/>
      <c r="G12" s="452">
        <v>1</v>
      </c>
      <c r="H12" s="79">
        <v>256</v>
      </c>
      <c r="I12" s="79">
        <f>2.8/G12</f>
        <v>2.8</v>
      </c>
      <c r="J12" s="79">
        <f t="shared" si="3"/>
        <v>2.8</v>
      </c>
      <c r="K12" s="79"/>
      <c r="L12" s="79"/>
      <c r="M12" s="79"/>
      <c r="N12" s="79">
        <f t="shared" si="0"/>
        <v>0</v>
      </c>
      <c r="O12" s="79"/>
      <c r="P12" s="79">
        <f t="shared" si="4"/>
        <v>0</v>
      </c>
      <c r="Q12" s="79"/>
      <c r="R12" s="79">
        <f t="shared" si="1"/>
        <v>0</v>
      </c>
      <c r="S12" s="79"/>
      <c r="T12" s="79">
        <f t="shared" si="2"/>
        <v>0</v>
      </c>
      <c r="U12" s="79"/>
      <c r="V12" s="97">
        <f t="shared" si="5"/>
        <v>44.24</v>
      </c>
      <c r="W12" s="79"/>
      <c r="X12" s="79"/>
      <c r="Y12" s="75" t="s">
        <v>117</v>
      </c>
      <c r="Z12" s="75">
        <v>34</v>
      </c>
      <c r="AA12" s="75">
        <f>VLOOKUP(Y12,Table3[],9)*Z12</f>
        <v>35.844479998846857</v>
      </c>
      <c r="AB12" s="75" t="e">
        <f>VLOOKUP($Y12,#REF!,4)*$Z12</f>
        <v>#REF!</v>
      </c>
      <c r="AC12" s="75"/>
      <c r="AD12" s="75"/>
      <c r="AE12" s="75"/>
      <c r="AF12" s="75"/>
      <c r="AG12" s="75"/>
      <c r="AH12" s="75"/>
      <c r="AI12" s="96">
        <f>AF12+AA12</f>
        <v>35.844479998846857</v>
      </c>
      <c r="AJ12" s="34"/>
      <c r="AK12" s="62"/>
    </row>
    <row r="13" spans="1:41" x14ac:dyDescent="0.35">
      <c r="A13" s="24"/>
      <c r="B13" s="76" t="s">
        <v>157</v>
      </c>
      <c r="C13" s="77"/>
      <c r="D13" s="77"/>
      <c r="E13" s="77"/>
      <c r="F13" s="77"/>
      <c r="G13" s="452">
        <v>1</v>
      </c>
      <c r="H13" s="78"/>
      <c r="I13" s="79">
        <v>1.2</v>
      </c>
      <c r="J13" s="79">
        <f t="shared" si="3"/>
        <v>1.2</v>
      </c>
      <c r="K13" s="79"/>
      <c r="L13" s="79"/>
      <c r="M13" s="79"/>
      <c r="N13" s="79">
        <f t="shared" si="0"/>
        <v>0</v>
      </c>
      <c r="O13" s="79"/>
      <c r="P13" s="79">
        <f t="shared" si="4"/>
        <v>0</v>
      </c>
      <c r="Q13" s="79"/>
      <c r="R13" s="79">
        <f t="shared" si="1"/>
        <v>0</v>
      </c>
      <c r="S13" s="79"/>
      <c r="T13" s="79">
        <f t="shared" si="2"/>
        <v>0</v>
      </c>
      <c r="U13" s="79"/>
      <c r="V13" s="97">
        <f t="shared" si="5"/>
        <v>18.96</v>
      </c>
      <c r="W13" s="79"/>
      <c r="X13" s="79">
        <f>V13</f>
        <v>18.96</v>
      </c>
      <c r="Y13" s="79"/>
      <c r="Z13" s="79"/>
      <c r="AA13" s="79"/>
      <c r="AB13" s="79" t="e">
        <f>VLOOKUP($Y13,#REF!,4)*$Z13</f>
        <v>#REF!</v>
      </c>
      <c r="AC13" s="79"/>
      <c r="AD13" s="79"/>
      <c r="AE13" s="79"/>
      <c r="AF13" s="79"/>
      <c r="AG13" s="79" t="e">
        <f>VLOOKUP($AD13,#REF!,4)*$AE13</f>
        <v>#REF!</v>
      </c>
      <c r="AH13" s="79"/>
      <c r="AI13" s="97"/>
      <c r="AJ13" s="34"/>
      <c r="AK13" s="101"/>
    </row>
    <row r="14" spans="1:41" x14ac:dyDescent="0.35">
      <c r="B14" s="76" t="s">
        <v>275</v>
      </c>
      <c r="C14" s="77"/>
      <c r="D14" s="77"/>
      <c r="E14" s="77"/>
      <c r="F14" s="77"/>
      <c r="G14" s="452">
        <v>1</v>
      </c>
      <c r="H14" s="82"/>
      <c r="I14" s="79"/>
      <c r="J14" s="79">
        <f t="shared" si="3"/>
        <v>0</v>
      </c>
      <c r="K14" s="79"/>
      <c r="L14" s="79"/>
      <c r="M14" s="79"/>
      <c r="N14" s="79">
        <f t="shared" si="0"/>
        <v>0</v>
      </c>
      <c r="O14" s="79"/>
      <c r="P14" s="79">
        <f t="shared" si="4"/>
        <v>0</v>
      </c>
      <c r="Q14" s="79"/>
      <c r="R14" s="79">
        <v>44</v>
      </c>
      <c r="S14" s="79"/>
      <c r="T14" s="79">
        <f t="shared" si="2"/>
        <v>0</v>
      </c>
      <c r="U14" s="79"/>
      <c r="V14" s="97">
        <f t="shared" si="5"/>
        <v>0</v>
      </c>
      <c r="W14" s="79"/>
      <c r="X14" s="79">
        <f>V14</f>
        <v>0</v>
      </c>
      <c r="Y14" s="79"/>
      <c r="Z14" s="79"/>
      <c r="AA14" s="79"/>
      <c r="AB14" s="79"/>
      <c r="AC14" s="79"/>
      <c r="AD14" s="79"/>
      <c r="AE14" s="79"/>
      <c r="AF14" s="79"/>
      <c r="AG14" s="79"/>
      <c r="AH14" s="79"/>
      <c r="AI14" s="97"/>
      <c r="AJ14" s="80"/>
      <c r="AK14" s="62"/>
    </row>
    <row r="15" spans="1:41" x14ac:dyDescent="0.35">
      <c r="B15" s="76" t="s">
        <v>162</v>
      </c>
      <c r="C15" s="77"/>
      <c r="D15" s="77"/>
      <c r="E15" s="77"/>
      <c r="F15" s="77"/>
      <c r="G15" s="452">
        <v>1</v>
      </c>
      <c r="H15" s="78"/>
      <c r="I15" s="79"/>
      <c r="J15" s="79"/>
      <c r="K15" s="79"/>
      <c r="L15" s="79"/>
      <c r="M15" s="79"/>
      <c r="N15" s="79">
        <f t="shared" si="0"/>
        <v>0</v>
      </c>
      <c r="O15" s="79"/>
      <c r="P15" s="79">
        <f t="shared" si="4"/>
        <v>0</v>
      </c>
      <c r="Q15" s="79"/>
      <c r="R15" s="79">
        <f t="shared" ref="R15:R20" si="6">Q15*G15</f>
        <v>0</v>
      </c>
      <c r="S15" s="79">
        <f>($T$25*$R25)/60</f>
        <v>4.4000000000000004</v>
      </c>
      <c r="T15" s="79">
        <f t="shared" si="2"/>
        <v>4.4000000000000004</v>
      </c>
      <c r="U15" s="79"/>
      <c r="V15" s="97">
        <f t="shared" si="5"/>
        <v>0</v>
      </c>
      <c r="W15" s="79"/>
      <c r="X15" s="79">
        <f>V15</f>
        <v>0</v>
      </c>
      <c r="Y15" s="75" t="s">
        <v>106</v>
      </c>
      <c r="Z15" s="75">
        <v>4.3600000000000003</v>
      </c>
      <c r="AA15" s="75">
        <f>VLOOKUP(Y15,Table3[],9)*Z15</f>
        <v>67.210131193800009</v>
      </c>
      <c r="AB15" s="75" t="e">
        <f>VLOOKUP($Y15,#REF!,4)*$Z15</f>
        <v>#REF!</v>
      </c>
      <c r="AC15" s="75"/>
      <c r="AD15" s="75" t="s">
        <v>107</v>
      </c>
      <c r="AE15" s="75">
        <f>Z15</f>
        <v>4.3600000000000003</v>
      </c>
      <c r="AF15" s="75">
        <f>VLOOKUP(AD15,Table3[],9)*AE15</f>
        <v>0.463141211841893</v>
      </c>
      <c r="AG15" s="75" t="e">
        <f>VLOOKUP($AD15,#REF!,4)*$AE15</f>
        <v>#REF!</v>
      </c>
      <c r="AH15" s="75"/>
      <c r="AI15" s="96">
        <f>AF15+AA15</f>
        <v>67.673272405641896</v>
      </c>
      <c r="AJ15" s="34"/>
      <c r="AK15" s="101"/>
    </row>
    <row r="16" spans="1:41" x14ac:dyDescent="0.35">
      <c r="B16" s="76" t="s">
        <v>161</v>
      </c>
      <c r="C16" s="77"/>
      <c r="D16" s="77"/>
      <c r="E16" s="77"/>
      <c r="F16" s="77"/>
      <c r="G16" s="452">
        <v>1</v>
      </c>
      <c r="H16" s="82">
        <f>(H26+H25)*H27</f>
        <v>335.28</v>
      </c>
      <c r="I16" s="79"/>
      <c r="J16" s="79"/>
      <c r="K16" s="79"/>
      <c r="L16" s="79"/>
      <c r="M16" s="79"/>
      <c r="N16" s="79">
        <f t="shared" si="0"/>
        <v>0</v>
      </c>
      <c r="O16" s="79"/>
      <c r="P16" s="79">
        <f t="shared" si="4"/>
        <v>0</v>
      </c>
      <c r="Q16" s="79"/>
      <c r="R16" s="79">
        <f t="shared" si="6"/>
        <v>0</v>
      </c>
      <c r="S16" s="79"/>
      <c r="T16" s="79">
        <f t="shared" si="2"/>
        <v>0</v>
      </c>
      <c r="U16" s="79"/>
      <c r="V16" s="97"/>
      <c r="W16" s="79"/>
      <c r="X16" s="79"/>
      <c r="Y16" s="79"/>
      <c r="Z16" s="79"/>
      <c r="AA16" s="79"/>
      <c r="AB16" s="79"/>
      <c r="AC16" s="79"/>
      <c r="AD16" s="79"/>
      <c r="AE16" s="79"/>
      <c r="AF16" s="79"/>
      <c r="AG16" s="79"/>
      <c r="AH16" s="79"/>
      <c r="AI16" s="97"/>
      <c r="AJ16" s="34"/>
      <c r="AK16" s="101"/>
    </row>
    <row r="17" spans="1:39" x14ac:dyDescent="0.35">
      <c r="A17" s="24"/>
      <c r="B17" s="76" t="s">
        <v>113</v>
      </c>
      <c r="C17" s="81"/>
      <c r="D17" s="81"/>
      <c r="E17" s="81"/>
      <c r="F17" s="81"/>
      <c r="G17" s="453">
        <v>1</v>
      </c>
      <c r="H17" s="82">
        <v>85</v>
      </c>
      <c r="I17" s="79"/>
      <c r="J17" s="79">
        <f t="shared" si="3"/>
        <v>0</v>
      </c>
      <c r="K17" s="79"/>
      <c r="L17" s="79"/>
      <c r="M17" s="79"/>
      <c r="N17" s="79">
        <f t="shared" si="0"/>
        <v>0</v>
      </c>
      <c r="O17" s="81"/>
      <c r="P17" s="81">
        <f t="shared" si="4"/>
        <v>0</v>
      </c>
      <c r="Q17" s="81"/>
      <c r="R17" s="81">
        <f t="shared" si="6"/>
        <v>0</v>
      </c>
      <c r="S17" s="81"/>
      <c r="T17" s="81">
        <f t="shared" si="2"/>
        <v>0</v>
      </c>
      <c r="U17" s="81"/>
      <c r="V17" s="97">
        <f t="shared" ref="V17:V21" si="7">((I17*G17)*I$3)+((M17*G17)*M$3)+((O17*G17)*O$3)+((Q17*G17)*Q$3)</f>
        <v>0</v>
      </c>
      <c r="W17" s="79"/>
      <c r="X17" s="79">
        <f>V17</f>
        <v>0</v>
      </c>
      <c r="Y17" s="79"/>
      <c r="Z17" s="79"/>
      <c r="AA17" s="79"/>
      <c r="AB17" s="79"/>
      <c r="AC17" s="79"/>
      <c r="AD17" s="79"/>
      <c r="AE17" s="79"/>
      <c r="AF17" s="79"/>
      <c r="AG17" s="79"/>
      <c r="AH17" s="79"/>
      <c r="AI17" s="97">
        <f>AF17+AA17</f>
        <v>0</v>
      </c>
      <c r="AJ17" s="80"/>
      <c r="AK17" s="101"/>
    </row>
    <row r="18" spans="1:39" x14ac:dyDescent="0.35">
      <c r="A18" s="24"/>
      <c r="B18" s="76" t="s">
        <v>119</v>
      </c>
      <c r="C18" s="81"/>
      <c r="D18" s="81"/>
      <c r="E18" s="81"/>
      <c r="F18" s="81"/>
      <c r="G18" s="453">
        <v>1</v>
      </c>
      <c r="H18" s="82">
        <v>139</v>
      </c>
      <c r="I18" s="79"/>
      <c r="J18" s="79">
        <f t="shared" si="3"/>
        <v>0</v>
      </c>
      <c r="K18" s="79"/>
      <c r="L18" s="79"/>
      <c r="M18" s="79"/>
      <c r="N18" s="79">
        <f t="shared" si="0"/>
        <v>0</v>
      </c>
      <c r="O18" s="81"/>
      <c r="P18" s="81">
        <f t="shared" si="4"/>
        <v>0</v>
      </c>
      <c r="Q18" s="81"/>
      <c r="R18" s="81">
        <f t="shared" si="6"/>
        <v>0</v>
      </c>
      <c r="S18" s="81"/>
      <c r="T18" s="81">
        <f t="shared" si="2"/>
        <v>0</v>
      </c>
      <c r="U18" s="81"/>
      <c r="V18" s="97">
        <f t="shared" si="7"/>
        <v>0</v>
      </c>
      <c r="W18" s="79">
        <f>V18</f>
        <v>0</v>
      </c>
      <c r="X18" s="79"/>
      <c r="Y18" s="79"/>
      <c r="Z18" s="79"/>
      <c r="AA18" s="79"/>
      <c r="AB18" s="79"/>
      <c r="AC18" s="79"/>
      <c r="AD18" s="79"/>
      <c r="AE18" s="79"/>
      <c r="AF18" s="79"/>
      <c r="AG18" s="79"/>
      <c r="AH18" s="79"/>
      <c r="AI18" s="97"/>
      <c r="AJ18" s="80"/>
      <c r="AK18" s="101"/>
    </row>
    <row r="19" spans="1:39" x14ac:dyDescent="0.35">
      <c r="A19" s="24"/>
      <c r="B19" s="76" t="s">
        <v>123</v>
      </c>
      <c r="C19" s="81"/>
      <c r="D19" s="81"/>
      <c r="E19" s="81"/>
      <c r="F19" s="81"/>
      <c r="G19" s="453">
        <v>1</v>
      </c>
      <c r="H19" s="82">
        <v>0</v>
      </c>
      <c r="I19" s="79"/>
      <c r="J19" s="79">
        <f t="shared" si="3"/>
        <v>0</v>
      </c>
      <c r="K19" s="79"/>
      <c r="L19" s="79"/>
      <c r="M19" s="79"/>
      <c r="N19" s="79">
        <f t="shared" si="0"/>
        <v>0</v>
      </c>
      <c r="O19" s="81"/>
      <c r="P19" s="81">
        <f t="shared" si="4"/>
        <v>0</v>
      </c>
      <c r="Q19" s="81"/>
      <c r="R19" s="81">
        <f t="shared" si="6"/>
        <v>0</v>
      </c>
      <c r="S19" s="81"/>
      <c r="T19" s="81">
        <f t="shared" si="2"/>
        <v>0</v>
      </c>
      <c r="U19" s="81"/>
      <c r="V19" s="97">
        <f t="shared" si="7"/>
        <v>0</v>
      </c>
      <c r="W19" s="79"/>
      <c r="X19" s="79"/>
      <c r="Y19" s="79"/>
      <c r="Z19" s="79"/>
      <c r="AA19" s="79"/>
      <c r="AB19" s="79"/>
      <c r="AC19" s="79"/>
      <c r="AD19" s="79"/>
      <c r="AE19" s="79"/>
      <c r="AF19" s="79"/>
      <c r="AG19" s="79"/>
      <c r="AH19" s="79"/>
      <c r="AI19" s="97"/>
      <c r="AJ19" s="80"/>
      <c r="AK19" s="101"/>
    </row>
    <row r="20" spans="1:39" x14ac:dyDescent="0.35">
      <c r="A20" s="24"/>
      <c r="B20" s="76" t="s">
        <v>120</v>
      </c>
      <c r="C20" s="81"/>
      <c r="D20" s="81"/>
      <c r="E20" s="81"/>
      <c r="F20" s="81"/>
      <c r="G20" s="453">
        <v>1</v>
      </c>
      <c r="H20" s="82">
        <v>0</v>
      </c>
      <c r="I20" s="79"/>
      <c r="J20" s="79">
        <f t="shared" si="3"/>
        <v>0</v>
      </c>
      <c r="K20" s="79"/>
      <c r="L20" s="79"/>
      <c r="M20" s="79"/>
      <c r="N20" s="79">
        <f t="shared" si="0"/>
        <v>0</v>
      </c>
      <c r="O20" s="81"/>
      <c r="P20" s="81">
        <f t="shared" si="4"/>
        <v>0</v>
      </c>
      <c r="Q20" s="81"/>
      <c r="R20" s="81">
        <f t="shared" si="6"/>
        <v>0</v>
      </c>
      <c r="S20" s="81"/>
      <c r="T20" s="81">
        <f t="shared" si="2"/>
        <v>0</v>
      </c>
      <c r="U20" s="81"/>
      <c r="V20" s="97">
        <f t="shared" si="7"/>
        <v>0</v>
      </c>
      <c r="W20" s="79"/>
      <c r="X20" s="79">
        <f>V20</f>
        <v>0</v>
      </c>
      <c r="Y20" s="79"/>
      <c r="Z20" s="79"/>
      <c r="AA20" s="79"/>
      <c r="AB20" s="79"/>
      <c r="AC20" s="79"/>
      <c r="AD20" s="79"/>
      <c r="AE20" s="79"/>
      <c r="AF20" s="79"/>
      <c r="AG20" s="79" t="e">
        <f>VLOOKUP($AD20,#REF!,4)*$AE20</f>
        <v>#REF!</v>
      </c>
      <c r="AH20" s="79"/>
      <c r="AI20" s="97"/>
      <c r="AJ20" s="80"/>
      <c r="AK20" s="101"/>
    </row>
    <row r="21" spans="1:39" ht="14.25" customHeight="1" x14ac:dyDescent="0.45">
      <c r="A21" s="12"/>
      <c r="B21" s="454"/>
      <c r="C21" s="455"/>
      <c r="D21" s="455"/>
      <c r="E21" s="455"/>
      <c r="F21" s="455"/>
      <c r="G21" s="456"/>
      <c r="H21" s="83"/>
      <c r="I21" s="84"/>
      <c r="J21" s="84">
        <f t="shared" si="3"/>
        <v>0</v>
      </c>
      <c r="K21" s="84"/>
      <c r="L21" s="84"/>
      <c r="M21" s="77"/>
      <c r="N21" s="79">
        <f t="shared" si="0"/>
        <v>0</v>
      </c>
      <c r="O21" s="79"/>
      <c r="P21" s="79"/>
      <c r="Q21" s="79"/>
      <c r="R21" s="79"/>
      <c r="S21" s="79"/>
      <c r="T21" s="79"/>
      <c r="U21" s="79"/>
      <c r="V21" s="97">
        <f t="shared" si="7"/>
        <v>0</v>
      </c>
      <c r="W21" s="84"/>
      <c r="X21" s="84"/>
      <c r="Y21" s="84"/>
      <c r="Z21" s="84"/>
      <c r="AA21" s="84"/>
      <c r="AB21" s="84"/>
      <c r="AC21" s="84"/>
      <c r="AD21" s="84"/>
      <c r="AE21" s="84"/>
      <c r="AF21" s="84"/>
      <c r="AG21" s="84"/>
      <c r="AH21" s="84"/>
      <c r="AI21" s="99"/>
      <c r="AJ21" s="85"/>
      <c r="AK21" s="62"/>
    </row>
    <row r="22" spans="1:39" outlineLevel="1" x14ac:dyDescent="0.35">
      <c r="B22" s="10" t="s">
        <v>20</v>
      </c>
      <c r="C22" s="7"/>
      <c r="D22" s="7"/>
      <c r="E22" s="7"/>
      <c r="F22" s="37"/>
      <c r="G22" s="51">
        <v>1</v>
      </c>
      <c r="H22" s="9">
        <f>SUM(H5:H21)</f>
        <v>815.28</v>
      </c>
      <c r="I22" s="277" t="s">
        <v>246</v>
      </c>
      <c r="J22" s="69">
        <f>SUM(J5:J21)</f>
        <v>17.05</v>
      </c>
      <c r="K22" s="277" t="s">
        <v>246</v>
      </c>
      <c r="L22" s="69">
        <f>SUM(L6:L21)</f>
        <v>2</v>
      </c>
      <c r="M22" s="277" t="s">
        <v>246</v>
      </c>
      <c r="N22" s="69">
        <f>SUM(N5:N21)</f>
        <v>72.599999999999994</v>
      </c>
      <c r="O22" s="277" t="s">
        <v>246</v>
      </c>
      <c r="P22" s="69">
        <f>SUM(P5:P21)</f>
        <v>45</v>
      </c>
      <c r="Q22" s="9" t="s">
        <v>254</v>
      </c>
      <c r="R22" s="287">
        <f>SUM(R5:R21)</f>
        <v>44</v>
      </c>
      <c r="S22" s="277" t="s">
        <v>246</v>
      </c>
      <c r="T22" s="69">
        <f>SUM(T5:T21)</f>
        <v>4.4000000000000004</v>
      </c>
      <c r="U22" s="9"/>
      <c r="V22" s="69">
        <f>SUM(V5:V21)</f>
        <v>269.39000000000004</v>
      </c>
      <c r="W22" s="9">
        <f>SUM(W5:W21)</f>
        <v>59.250000000000007</v>
      </c>
      <c r="X22" s="9">
        <f>SUM(X5:X21)</f>
        <v>23.700000000000003</v>
      </c>
      <c r="Y22" s="9"/>
      <c r="Z22" s="9"/>
      <c r="AA22" s="9"/>
      <c r="AB22" s="9"/>
      <c r="AC22" s="9"/>
      <c r="AD22" s="9"/>
      <c r="AE22" s="9"/>
      <c r="AF22" s="9"/>
      <c r="AG22" s="9"/>
      <c r="AH22" s="9"/>
      <c r="AI22" s="69">
        <f>SUM(AI5:AI21)</f>
        <v>456.77215049099351</v>
      </c>
      <c r="AJ22" s="74">
        <f>SUM(AJ5:AJ21)</f>
        <v>0</v>
      </c>
      <c r="AK22" s="62"/>
    </row>
    <row r="23" spans="1:39" outlineLevel="1" x14ac:dyDescent="0.35">
      <c r="B23" s="53"/>
      <c r="C23" s="53"/>
      <c r="D23" s="53"/>
      <c r="E23" s="53"/>
      <c r="F23" s="412"/>
      <c r="G23" s="55"/>
      <c r="H23" s="57"/>
      <c r="I23" s="462"/>
      <c r="J23" s="57"/>
      <c r="K23" s="462"/>
      <c r="L23" s="57"/>
      <c r="M23" s="462"/>
      <c r="N23" s="57"/>
      <c r="O23" s="462"/>
      <c r="P23" s="57"/>
      <c r="Q23" s="57"/>
      <c r="R23" s="462"/>
      <c r="S23" s="462"/>
      <c r="T23" s="57"/>
      <c r="U23" s="57"/>
      <c r="V23" s="69"/>
      <c r="W23" s="57"/>
      <c r="X23" s="57"/>
      <c r="Y23" s="57"/>
      <c r="Z23" s="57"/>
      <c r="AA23" s="57"/>
      <c r="AB23" s="57"/>
      <c r="AC23" s="57"/>
      <c r="AD23" s="57"/>
      <c r="AE23" s="57"/>
      <c r="AF23" s="57"/>
      <c r="AG23" s="57"/>
      <c r="AH23" s="57"/>
      <c r="AI23" s="57"/>
      <c r="AJ23" s="57"/>
      <c r="AK23" s="62"/>
    </row>
    <row r="24" spans="1:39" outlineLevel="1" x14ac:dyDescent="0.35">
      <c r="I24" s="135" t="s">
        <v>247</v>
      </c>
      <c r="J24" s="278">
        <f>J22*I3</f>
        <v>269.39000000000004</v>
      </c>
      <c r="K24" s="135" t="s">
        <v>247</v>
      </c>
      <c r="L24" s="278">
        <f>L22*K3</f>
        <v>31.6</v>
      </c>
      <c r="M24" s="135" t="s">
        <v>247</v>
      </c>
      <c r="N24" s="278">
        <f>N22*M3</f>
        <v>1147.08</v>
      </c>
      <c r="O24" s="135" t="s">
        <v>247</v>
      </c>
      <c r="P24" s="278">
        <f>P22*O3</f>
        <v>711</v>
      </c>
      <c r="Q24" s="135" t="s">
        <v>247</v>
      </c>
      <c r="R24" s="104">
        <f>R22*R26</f>
        <v>1026.52</v>
      </c>
      <c r="S24" s="135" t="s">
        <v>247</v>
      </c>
      <c r="T24" s="104">
        <f>T22*S3</f>
        <v>69.52000000000001</v>
      </c>
      <c r="U24" s="104"/>
      <c r="V24" s="69"/>
      <c r="AK24" s="62"/>
    </row>
    <row r="25" spans="1:39" ht="29" outlineLevel="1" x14ac:dyDescent="0.35">
      <c r="E25" s="466" t="s">
        <v>278</v>
      </c>
      <c r="F25" s="466"/>
      <c r="G25" s="1"/>
      <c r="H25" s="278">
        <v>2.4</v>
      </c>
      <c r="K25" s="1" t="s">
        <v>260</v>
      </c>
      <c r="L25" s="281">
        <v>2</v>
      </c>
      <c r="M25" s="1" t="s">
        <v>274</v>
      </c>
      <c r="N25" s="356">
        <v>2178</v>
      </c>
      <c r="O25" s="283" t="s">
        <v>251</v>
      </c>
      <c r="P25" s="64">
        <v>45</v>
      </c>
      <c r="Q25" t="s">
        <v>254</v>
      </c>
      <c r="R25" s="135">
        <f>ROUND(R27/R28,0)</f>
        <v>44</v>
      </c>
      <c r="S25" s="283" t="s">
        <v>258</v>
      </c>
      <c r="T25" s="104">
        <v>6</v>
      </c>
      <c r="V25" s="2"/>
      <c r="Z25" s="134"/>
    </row>
    <row r="26" spans="1:39" ht="43.5" outlineLevel="1" x14ac:dyDescent="0.35">
      <c r="E26" s="654" t="s">
        <v>279</v>
      </c>
      <c r="F26" s="654"/>
      <c r="H26" s="278">
        <v>5.22</v>
      </c>
      <c r="K26" s="104"/>
      <c r="L26" s="104"/>
      <c r="M26" s="293" t="s">
        <v>277</v>
      </c>
      <c r="N26" s="260">
        <v>2</v>
      </c>
      <c r="O26" s="188"/>
      <c r="P26" s="55"/>
      <c r="Q26" s="1" t="s">
        <v>259</v>
      </c>
      <c r="R26" s="288">
        <v>23.33</v>
      </c>
      <c r="U26" s="133"/>
      <c r="V26" s="20"/>
      <c r="Y26" s="53"/>
    </row>
    <row r="27" spans="1:39" outlineLevel="1" x14ac:dyDescent="0.35">
      <c r="E27" t="s">
        <v>346</v>
      </c>
      <c r="G27" s="1"/>
      <c r="H27" s="321">
        <f>R25</f>
        <v>44</v>
      </c>
      <c r="K27" s="104"/>
      <c r="L27" s="104"/>
      <c r="M27" s="288"/>
      <c r="N27" s="282"/>
      <c r="O27" s="188"/>
      <c r="P27" s="55"/>
      <c r="Q27" s="283" t="s">
        <v>344</v>
      </c>
      <c r="R27" s="461">
        <v>34848</v>
      </c>
      <c r="U27" s="135"/>
      <c r="V27" s="20"/>
      <c r="Y27" s="53"/>
    </row>
    <row r="28" spans="1:39" ht="29" outlineLevel="1" x14ac:dyDescent="0.35">
      <c r="G28" s="1"/>
      <c r="H28" s="288"/>
      <c r="I28" s="283"/>
      <c r="J28" s="104"/>
      <c r="K28" s="104"/>
      <c r="L28" s="104"/>
      <c r="M28" s="288"/>
      <c r="N28" s="282"/>
      <c r="O28" s="188"/>
      <c r="P28" s="55"/>
      <c r="Q28" s="283" t="s">
        <v>345</v>
      </c>
      <c r="R28" s="461">
        <v>800</v>
      </c>
      <c r="S28" s="135"/>
      <c r="T28" s="135"/>
      <c r="U28" s="135"/>
      <c r="V28" s="20"/>
      <c r="Y28" s="53"/>
    </row>
    <row r="29" spans="1:39" outlineLevel="1" x14ac:dyDescent="0.35">
      <c r="G29" s="1"/>
      <c r="H29" s="288"/>
      <c r="I29" s="283"/>
      <c r="J29" s="104"/>
      <c r="K29" s="104"/>
      <c r="L29" s="104"/>
      <c r="M29" s="288"/>
      <c r="N29" s="282"/>
      <c r="O29" s="188"/>
      <c r="P29" s="55"/>
      <c r="Q29" s="1"/>
      <c r="R29" s="288"/>
      <c r="S29" s="135"/>
      <c r="T29" s="135"/>
      <c r="U29" s="135"/>
      <c r="V29" s="20"/>
      <c r="Y29" s="53"/>
      <c r="AM29" s="189" t="s">
        <v>106</v>
      </c>
    </row>
    <row r="30" spans="1:39" outlineLevel="1" x14ac:dyDescent="0.35">
      <c r="G30" s="1"/>
      <c r="H30" s="288"/>
      <c r="I30" s="283"/>
      <c r="J30" s="104"/>
      <c r="K30" s="104"/>
      <c r="L30" s="104"/>
      <c r="M30" s="288"/>
      <c r="N30" s="282"/>
      <c r="O30" s="188"/>
      <c r="P30" s="55"/>
      <c r="Q30" s="1"/>
      <c r="R30" s="288"/>
      <c r="S30" s="135"/>
      <c r="T30" s="135"/>
      <c r="U30" s="135"/>
      <c r="V30" s="20"/>
      <c r="Y30" s="53"/>
      <c r="AM30" s="190" t="s">
        <v>107</v>
      </c>
    </row>
    <row r="31" spans="1:39" outlineLevel="1" x14ac:dyDescent="0.35">
      <c r="G31" s="1"/>
      <c r="H31" s="288"/>
      <c r="I31" s="283"/>
      <c r="J31" s="104"/>
      <c r="K31" s="104"/>
      <c r="L31" s="104"/>
      <c r="M31" s="288"/>
      <c r="N31" s="282"/>
      <c r="O31" s="188"/>
      <c r="P31" s="55"/>
      <c r="Q31" s="1"/>
      <c r="R31" s="288"/>
      <c r="S31" s="135"/>
      <c r="T31" s="135"/>
      <c r="U31" s="135"/>
      <c r="V31" s="20"/>
      <c r="Y31" s="53"/>
      <c r="AM31" s="190" t="s">
        <v>108</v>
      </c>
    </row>
    <row r="32" spans="1:39" outlineLevel="1" x14ac:dyDescent="0.35">
      <c r="G32" s="1"/>
      <c r="H32" s="288"/>
      <c r="I32" s="283"/>
      <c r="J32" s="104"/>
      <c r="K32" s="104"/>
      <c r="L32" s="104"/>
      <c r="M32" s="288"/>
      <c r="N32" s="282"/>
      <c r="O32" s="188"/>
      <c r="P32" s="55"/>
      <c r="Q32" s="1"/>
      <c r="R32" s="288"/>
      <c r="S32" s="135"/>
      <c r="T32" s="135"/>
      <c r="U32" s="135"/>
      <c r="V32" s="20"/>
      <c r="Y32" s="53"/>
      <c r="AM32" s="190" t="s">
        <v>109</v>
      </c>
    </row>
    <row r="33" spans="6:39" outlineLevel="1" x14ac:dyDescent="0.35">
      <c r="G33" s="1"/>
      <c r="H33" s="288"/>
      <c r="I33" s="283"/>
      <c r="J33" s="104"/>
      <c r="K33" s="104"/>
      <c r="L33" s="104"/>
      <c r="M33" s="288"/>
      <c r="N33" s="282"/>
      <c r="O33" s="188"/>
      <c r="P33" s="55"/>
      <c r="Q33" s="1"/>
      <c r="R33" s="288"/>
      <c r="S33" s="135"/>
      <c r="T33" s="135"/>
      <c r="U33" s="135"/>
      <c r="V33" s="20"/>
      <c r="Y33" s="53"/>
      <c r="AM33" s="190" t="s">
        <v>110</v>
      </c>
    </row>
    <row r="34" spans="6:39" outlineLevel="1" x14ac:dyDescent="0.35">
      <c r="G34" s="1"/>
      <c r="H34" s="288"/>
      <c r="I34" s="283"/>
      <c r="J34" s="104"/>
      <c r="K34" s="104"/>
      <c r="L34" s="104"/>
      <c r="M34" s="288"/>
      <c r="N34" s="282"/>
      <c r="O34" s="188"/>
      <c r="P34" s="55"/>
      <c r="Q34" s="1"/>
      <c r="R34" s="288"/>
      <c r="S34" s="135"/>
      <c r="T34" s="135"/>
      <c r="U34" s="135"/>
      <c r="V34" s="20"/>
      <c r="Y34" s="53"/>
      <c r="AM34" s="190" t="s">
        <v>56</v>
      </c>
    </row>
    <row r="35" spans="6:39" outlineLevel="1" x14ac:dyDescent="0.35">
      <c r="G35" s="71"/>
      <c r="H35" s="71"/>
      <c r="I35" s="104"/>
      <c r="J35" s="104"/>
      <c r="K35" s="104"/>
      <c r="L35" s="104"/>
      <c r="M35" s="104"/>
      <c r="N35" s="71"/>
      <c r="O35" s="104"/>
      <c r="P35" s="53"/>
      <c r="AF35" s="53"/>
      <c r="AL35"/>
      <c r="AM35" s="190" t="s">
        <v>112</v>
      </c>
    </row>
    <row r="36" spans="6:39" outlineLevel="1" x14ac:dyDescent="0.35">
      <c r="G36" s="71"/>
      <c r="H36" s="71"/>
      <c r="I36" s="104"/>
      <c r="J36" s="104"/>
      <c r="K36" s="104"/>
      <c r="L36" s="104"/>
      <c r="M36" s="104"/>
      <c r="N36" s="71"/>
      <c r="O36" s="104"/>
      <c r="P36" s="53"/>
      <c r="AF36" s="53"/>
      <c r="AL36"/>
      <c r="AM36" s="190" t="s">
        <v>114</v>
      </c>
    </row>
    <row r="37" spans="6:39" outlineLevel="1" x14ac:dyDescent="0.35">
      <c r="G37" s="71"/>
      <c r="H37" s="71"/>
      <c r="I37" s="104"/>
      <c r="J37" s="104"/>
      <c r="K37" s="104"/>
      <c r="L37" s="104"/>
      <c r="M37" s="104"/>
      <c r="N37" s="71"/>
      <c r="O37" s="104"/>
      <c r="P37" s="53"/>
      <c r="AF37" s="53"/>
      <c r="AL37"/>
      <c r="AM37" s="190" t="s">
        <v>115</v>
      </c>
    </row>
    <row r="38" spans="6:39" outlineLevel="1" x14ac:dyDescent="0.35">
      <c r="G38" s="370"/>
      <c r="H38" s="285"/>
      <c r="I38" s="285"/>
      <c r="J38" s="285"/>
      <c r="K38" s="285"/>
      <c r="L38" s="285"/>
      <c r="M38" s="104"/>
      <c r="N38" s="71"/>
      <c r="O38" s="104"/>
      <c r="P38" s="53"/>
      <c r="R38" s="30"/>
      <c r="AF38" s="53"/>
      <c r="AL38"/>
      <c r="AM38" s="190" t="s">
        <v>116</v>
      </c>
    </row>
    <row r="39" spans="6:39" outlineLevel="1" x14ac:dyDescent="0.35">
      <c r="G39" s="71"/>
      <c r="H39" s="71"/>
      <c r="I39" s="104"/>
      <c r="J39" s="104"/>
      <c r="K39" s="104"/>
      <c r="L39" s="104"/>
      <c r="M39" s="104"/>
      <c r="N39" s="71"/>
      <c r="O39" s="104"/>
      <c r="P39" s="53"/>
      <c r="AF39" s="53"/>
      <c r="AL39"/>
      <c r="AM39" s="190" t="s">
        <v>117</v>
      </c>
    </row>
    <row r="40" spans="6:39" outlineLevel="1" x14ac:dyDescent="0.35">
      <c r="F40" s="71"/>
      <c r="G40" s="71"/>
      <c r="H40" s="188"/>
      <c r="I40" s="1"/>
      <c r="K40" s="57"/>
      <c r="L40" s="57"/>
      <c r="M40" s="104"/>
      <c r="N40" s="71"/>
      <c r="O40" s="104"/>
      <c r="P40" s="53"/>
      <c r="AF40" s="53"/>
      <c r="AL40"/>
      <c r="AM40" s="190" t="s">
        <v>118</v>
      </c>
    </row>
    <row r="41" spans="6:39" ht="18.75" customHeight="1" outlineLevel="1" x14ac:dyDescent="0.35">
      <c r="G41" s="71"/>
      <c r="H41" s="71"/>
      <c r="I41" s="135"/>
      <c r="J41" s="278"/>
      <c r="K41" s="278"/>
      <c r="L41" s="278"/>
      <c r="M41" s="104"/>
      <c r="N41" s="104"/>
      <c r="O41" s="104"/>
      <c r="P41" s="53"/>
      <c r="AF41" s="53"/>
      <c r="AL41"/>
      <c r="AM41" s="27"/>
    </row>
    <row r="42" spans="6:39" ht="19.5" customHeight="1" outlineLevel="1" x14ac:dyDescent="0.35">
      <c r="G42" s="71"/>
      <c r="H42" s="71"/>
      <c r="I42" s="283"/>
      <c r="M42" s="104"/>
      <c r="N42" s="71"/>
      <c r="O42" s="104"/>
      <c r="P42" s="71"/>
      <c r="AF42" s="53"/>
      <c r="AL42"/>
      <c r="AM42" s="29"/>
    </row>
    <row r="43" spans="6:39" x14ac:dyDescent="0.35">
      <c r="G43" s="71"/>
      <c r="H43" s="71"/>
      <c r="I43" s="188"/>
      <c r="J43" s="1"/>
      <c r="K43" s="1"/>
      <c r="L43" s="1"/>
      <c r="M43" s="104"/>
      <c r="N43" s="71"/>
      <c r="O43" s="104"/>
      <c r="P43" s="53"/>
      <c r="AF43" s="53"/>
      <c r="AL43"/>
      <c r="AM43" s="28"/>
    </row>
    <row r="44" spans="6:39" x14ac:dyDescent="0.35">
      <c r="G44" s="71"/>
      <c r="H44" s="53"/>
      <c r="I44" s="104"/>
      <c r="J44" s="104"/>
      <c r="K44" s="104"/>
      <c r="L44" s="104"/>
      <c r="M44" s="57"/>
      <c r="N44" s="53"/>
      <c r="O44" s="57"/>
      <c r="P44" s="53"/>
      <c r="AF44" s="53"/>
      <c r="AL44"/>
    </row>
    <row r="45" spans="6:39" x14ac:dyDescent="0.35">
      <c r="G45" s="71"/>
      <c r="H45" s="53"/>
      <c r="I45" s="57"/>
      <c r="J45" s="57"/>
      <c r="K45" s="57"/>
      <c r="L45" s="57"/>
      <c r="M45" s="57"/>
      <c r="N45" s="53"/>
      <c r="O45" s="57"/>
      <c r="P45" s="53"/>
      <c r="AF45" s="53"/>
      <c r="AL45"/>
    </row>
    <row r="46" spans="6:39" x14ac:dyDescent="0.35">
      <c r="G46" s="53"/>
      <c r="H46" s="53"/>
      <c r="I46" s="57"/>
      <c r="J46" s="57"/>
      <c r="K46" s="57"/>
      <c r="L46" s="57"/>
      <c r="M46" s="57"/>
      <c r="N46" s="53"/>
      <c r="O46" s="57"/>
      <c r="P46" s="53"/>
      <c r="R46" s="30"/>
      <c r="AF46" s="53"/>
      <c r="AL46"/>
    </row>
    <row r="47" spans="6:39" x14ac:dyDescent="0.35">
      <c r="G47" s="53"/>
      <c r="H47" s="53"/>
      <c r="I47" s="57"/>
      <c r="J47" s="57"/>
      <c r="K47" s="57"/>
      <c r="L47" s="57"/>
      <c r="M47" s="57"/>
      <c r="N47" s="53"/>
      <c r="O47" s="57"/>
      <c r="P47" s="53"/>
      <c r="AF47" s="53"/>
      <c r="AL47"/>
    </row>
    <row r="48" spans="6:39" x14ac:dyDescent="0.35">
      <c r="G48" s="53"/>
      <c r="H48" s="53"/>
      <c r="I48" s="57"/>
      <c r="J48" s="57"/>
      <c r="K48" s="57"/>
      <c r="L48" s="57"/>
      <c r="M48" s="57"/>
      <c r="N48" s="53"/>
      <c r="O48" s="57"/>
      <c r="P48" s="53"/>
      <c r="AF48" s="53"/>
      <c r="AL48"/>
    </row>
    <row r="49" spans="7:41" x14ac:dyDescent="0.35">
      <c r="G49" s="53"/>
      <c r="H49" s="53"/>
      <c r="I49" s="57"/>
      <c r="J49" s="57"/>
      <c r="K49" s="57"/>
      <c r="L49" s="57"/>
      <c r="M49" s="57"/>
      <c r="N49" s="57"/>
      <c r="O49" s="57"/>
      <c r="P49" s="53"/>
      <c r="AF49" s="53"/>
      <c r="AL49"/>
    </row>
    <row r="50" spans="7:41" x14ac:dyDescent="0.35">
      <c r="G50" s="71"/>
      <c r="H50" s="53"/>
      <c r="I50" s="57"/>
      <c r="J50" s="57"/>
      <c r="K50" s="57"/>
      <c r="L50" s="57"/>
      <c r="M50" s="57"/>
      <c r="N50" s="53"/>
      <c r="O50" s="57"/>
      <c r="P50" s="53"/>
      <c r="AF50" s="53"/>
      <c r="AL50"/>
    </row>
    <row r="51" spans="7:41" x14ac:dyDescent="0.35">
      <c r="G51" s="53"/>
      <c r="H51" s="53"/>
      <c r="I51" s="53"/>
      <c r="J51" s="53"/>
      <c r="K51" s="53"/>
      <c r="L51" s="53"/>
      <c r="M51" s="53"/>
      <c r="N51" s="53"/>
      <c r="O51" s="53"/>
      <c r="P51" s="53"/>
      <c r="AF51" s="53"/>
      <c r="AL51"/>
      <c r="AO51" s="53"/>
    </row>
    <row r="52" spans="7:41" x14ac:dyDescent="0.35">
      <c r="G52" s="53"/>
      <c r="H52" s="53"/>
      <c r="I52" s="53"/>
      <c r="J52" s="53"/>
      <c r="K52" s="53"/>
      <c r="L52" s="53"/>
      <c r="M52" s="53"/>
      <c r="N52" s="53"/>
      <c r="O52" s="53"/>
      <c r="P52" s="53"/>
      <c r="AL52"/>
    </row>
    <row r="65" spans="3:3" x14ac:dyDescent="0.35"/>
    <row r="67" spans="3:3" x14ac:dyDescent="0.35"/>
    <row r="71" spans="3:3" x14ac:dyDescent="0.35"/>
    <row r="73" spans="3:3" x14ac:dyDescent="0.35"/>
    <row r="74" spans="3:3" x14ac:dyDescent="0.35"/>
    <row r="77" spans="3:3" x14ac:dyDescent="0.35"/>
    <row r="78" spans="3:3" x14ac:dyDescent="0.35"/>
    <row r="79" spans="3:3" x14ac:dyDescent="0.35"/>
    <row r="81" spans="3:3" x14ac:dyDescent="0.35"/>
    <row r="82" spans="3:3" x14ac:dyDescent="0.35"/>
    <row r="84" spans="3:3" x14ac:dyDescent="0.35"/>
    <row r="85" spans="3:3" x14ac:dyDescent="0.35"/>
    <row r="86" spans="3:3" x14ac:dyDescent="0.35"/>
    <row r="87" spans="3:3" x14ac:dyDescent="0.35"/>
  </sheetData>
  <sortState xmlns:xlrd2="http://schemas.microsoft.com/office/spreadsheetml/2017/richdata2" ref="AD25:AD34">
    <sortCondition ref="AD25:AD34"/>
  </sortState>
  <mergeCells count="3">
    <mergeCell ref="Y2:AB2"/>
    <mergeCell ref="AD2:AF2"/>
    <mergeCell ref="E26:F26"/>
  </mergeCells>
  <dataValidations count="2">
    <dataValidation type="list" allowBlank="1" showInputMessage="1" showErrorMessage="1" sqref="AD13 AD15:AD20 AD5:AD11" xr:uid="{00000000-0002-0000-0900-000000000000}">
      <formula1>$AM$29:$AM$38</formula1>
    </dataValidation>
    <dataValidation type="list" allowBlank="1" showInputMessage="1" showErrorMessage="1" sqref="Y5:Y21" xr:uid="{00000000-0002-0000-0900-000001000000}">
      <formula1>$AM$29:$AM$41</formula1>
    </dataValidation>
  </dataValidations>
  <pageMargins left="0.7" right="0.7" top="0.75" bottom="0.75" header="0.3" footer="0.3"/>
  <pageSetup scale="40" orientation="landscape"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58"/>
  <sheetViews>
    <sheetView zoomScale="80" zoomScaleNormal="80" workbookViewId="0">
      <selection activeCell="S15" sqref="S15"/>
    </sheetView>
  </sheetViews>
  <sheetFormatPr defaultColWidth="9.1796875" defaultRowHeight="14.5" outlineLevelRow="1" outlineLevelCol="1" x14ac:dyDescent="0.35"/>
  <cols>
    <col min="1" max="1" width="9.1796875" style="63"/>
    <col min="2" max="2" width="14.26953125" style="63" customWidth="1"/>
    <col min="3" max="3" width="9.1796875" style="63"/>
    <col min="4" max="4" width="14.54296875" style="63" customWidth="1"/>
    <col min="5" max="5" width="9.1796875" style="63"/>
    <col min="6" max="10" width="9.1796875" style="63" hidden="1" customWidth="1" outlineLevel="1"/>
    <col min="11" max="11" width="4.81640625" style="63" customWidth="1" collapsed="1"/>
    <col min="12" max="12" width="27.453125" style="63" customWidth="1"/>
    <col min="13" max="13" width="8.81640625" style="63" customWidth="1"/>
    <col min="14" max="14" width="11.453125" style="63" customWidth="1"/>
    <col min="15" max="15" width="9.7265625" style="63" customWidth="1"/>
    <col min="16" max="16" width="10.7265625" style="63" customWidth="1"/>
    <col min="17" max="18" width="8.7265625" style="63" customWidth="1"/>
    <col min="19" max="19" width="10.26953125" style="63" customWidth="1"/>
    <col min="20" max="20" width="10.1796875" style="63" customWidth="1"/>
    <col min="21" max="16384" width="9.1796875" style="63"/>
  </cols>
  <sheetData>
    <row r="1" spans="1:20" x14ac:dyDescent="0.35">
      <c r="A1" t="s">
        <v>303</v>
      </c>
    </row>
    <row r="2" spans="1:20" ht="30" customHeight="1" x14ac:dyDescent="0.35">
      <c r="B2" s="655" t="s">
        <v>166</v>
      </c>
      <c r="C2" s="656"/>
      <c r="D2" s="656"/>
      <c r="E2" s="657"/>
    </row>
    <row r="3" spans="1:20" ht="15.5" x14ac:dyDescent="0.35">
      <c r="A3" s="144"/>
      <c r="B3" s="655" t="s">
        <v>167</v>
      </c>
      <c r="C3" s="656"/>
      <c r="D3" s="656"/>
      <c r="E3" s="657"/>
      <c r="F3" s="144"/>
      <c r="G3" s="144"/>
      <c r="H3" s="144"/>
      <c r="I3" s="144"/>
      <c r="J3" s="144"/>
      <c r="K3" s="144"/>
      <c r="L3" s="155" t="s">
        <v>99</v>
      </c>
      <c r="M3" s="144"/>
      <c r="N3" s="144"/>
      <c r="O3" s="144"/>
    </row>
    <row r="4" spans="1:20" ht="29.25" customHeight="1" x14ac:dyDescent="0.35">
      <c r="A4" s="144"/>
      <c r="B4" s="237"/>
      <c r="C4" s="284"/>
      <c r="D4" s="284"/>
      <c r="E4" s="508" t="s">
        <v>168</v>
      </c>
      <c r="F4" s="144"/>
      <c r="G4" s="144"/>
      <c r="H4" s="144"/>
      <c r="I4" s="144"/>
      <c r="J4" s="144"/>
      <c r="K4" s="144"/>
      <c r="L4" s="161" t="s">
        <v>100</v>
      </c>
      <c r="M4" s="161" t="s">
        <v>7</v>
      </c>
      <c r="N4" s="162" t="s">
        <v>101</v>
      </c>
      <c r="O4" s="162" t="s">
        <v>102</v>
      </c>
      <c r="P4" s="162" t="s">
        <v>103</v>
      </c>
      <c r="Q4" s="162" t="s">
        <v>104</v>
      </c>
      <c r="R4" s="162" t="s">
        <v>105</v>
      </c>
      <c r="S4" s="362" t="s">
        <v>149</v>
      </c>
      <c r="T4" s="362" t="s">
        <v>150</v>
      </c>
    </row>
    <row r="5" spans="1:20" ht="15.5" x14ac:dyDescent="0.35">
      <c r="A5" s="144"/>
      <c r="B5" s="201" t="s">
        <v>169</v>
      </c>
      <c r="C5" s="53"/>
      <c r="D5" s="205">
        <f>M15</f>
        <v>65</v>
      </c>
      <c r="E5" s="203">
        <f>N15</f>
        <v>48000</v>
      </c>
      <c r="F5" s="144"/>
      <c r="G5" s="144"/>
      <c r="H5" s="144"/>
      <c r="I5" s="144"/>
      <c r="J5" s="144"/>
      <c r="K5" s="144"/>
      <c r="L5" s="363" t="s">
        <v>118</v>
      </c>
      <c r="M5" s="363"/>
      <c r="N5" s="364">
        <v>3000</v>
      </c>
      <c r="O5" s="364">
        <v>10</v>
      </c>
      <c r="P5" s="364">
        <v>500</v>
      </c>
      <c r="Q5" s="363"/>
      <c r="R5" s="368"/>
      <c r="S5" s="369"/>
      <c r="T5" s="363"/>
    </row>
    <row r="6" spans="1:20" ht="15.5" x14ac:dyDescent="0.35">
      <c r="A6" s="144"/>
      <c r="B6" s="201" t="s">
        <v>107</v>
      </c>
      <c r="C6" s="143"/>
      <c r="D6" s="143"/>
      <c r="E6" s="203">
        <f>N8</f>
        <v>11580</v>
      </c>
      <c r="F6" s="144"/>
      <c r="G6" s="144"/>
      <c r="H6" s="144"/>
      <c r="I6" s="144"/>
      <c r="J6" s="144"/>
      <c r="K6" s="144"/>
      <c r="L6" s="179" t="s">
        <v>56</v>
      </c>
      <c r="M6" s="179"/>
      <c r="N6" s="180">
        <v>2800</v>
      </c>
      <c r="O6" s="180">
        <v>15</v>
      </c>
      <c r="P6" s="180">
        <v>250</v>
      </c>
      <c r="Q6" s="180">
        <v>10</v>
      </c>
      <c r="R6" s="181">
        <f>((((O6*Q6)/1000)^1.4)*N6*0.23)/(O6*Q6)</f>
        <v>0.30152433685097574</v>
      </c>
      <c r="S6" s="182"/>
      <c r="T6" s="360">
        <f t="shared" ref="T6:T14" si="0">S6+R6</f>
        <v>0.30152433685097574</v>
      </c>
    </row>
    <row r="7" spans="1:20" ht="15.5" x14ac:dyDescent="0.35">
      <c r="A7" s="144"/>
      <c r="B7" s="201" t="s">
        <v>170</v>
      </c>
      <c r="C7" s="143"/>
      <c r="D7" s="143"/>
      <c r="E7" s="203">
        <f>N13</f>
        <v>900</v>
      </c>
      <c r="F7" s="144"/>
      <c r="G7" s="144"/>
      <c r="H7" s="144"/>
      <c r="I7" s="144"/>
      <c r="J7" s="144"/>
      <c r="K7" s="144"/>
      <c r="L7" s="179" t="s">
        <v>114</v>
      </c>
      <c r="M7" s="179"/>
      <c r="N7" s="180">
        <v>7800</v>
      </c>
      <c r="O7" s="180">
        <v>15</v>
      </c>
      <c r="P7" s="180">
        <v>600</v>
      </c>
      <c r="Q7" s="180">
        <v>20</v>
      </c>
      <c r="R7" s="181">
        <f>((((O7*Q7)/1000)^1.7)*N7*0.46)/(O7*Q7)</f>
        <v>1.544675693456764</v>
      </c>
      <c r="S7" s="182"/>
      <c r="T7" s="360">
        <f t="shared" si="0"/>
        <v>1.544675693456764</v>
      </c>
    </row>
    <row r="8" spans="1:20" ht="15.5" x14ac:dyDescent="0.35">
      <c r="A8" s="144"/>
      <c r="B8" s="201" t="s">
        <v>109</v>
      </c>
      <c r="C8" s="143"/>
      <c r="D8" s="143"/>
      <c r="E8" s="203">
        <f>N16</f>
        <v>3700</v>
      </c>
      <c r="F8" s="144"/>
      <c r="G8" s="144"/>
      <c r="H8" s="144"/>
      <c r="I8" s="144"/>
      <c r="J8" s="144"/>
      <c r="K8" s="144"/>
      <c r="L8" s="179" t="s">
        <v>107</v>
      </c>
      <c r="M8" s="179"/>
      <c r="N8" s="180">
        <v>11580</v>
      </c>
      <c r="O8" s="180">
        <v>15</v>
      </c>
      <c r="P8" s="180">
        <v>1150</v>
      </c>
      <c r="Q8" s="180">
        <v>50</v>
      </c>
      <c r="R8" s="181">
        <f>((((O8*Q8)/1000)^1.3)*N8*0.01)/(O8*Q8)</f>
        <v>0.10622504858759013</v>
      </c>
      <c r="S8" s="182"/>
      <c r="T8" s="360">
        <f t="shared" si="0"/>
        <v>0.10622504858759013</v>
      </c>
    </row>
    <row r="9" spans="1:20" ht="15.5" x14ac:dyDescent="0.35">
      <c r="A9" s="144"/>
      <c r="B9" s="201" t="s">
        <v>110</v>
      </c>
      <c r="C9" s="143"/>
      <c r="D9" s="143"/>
      <c r="E9" s="203">
        <f>N11</f>
        <v>20000</v>
      </c>
      <c r="F9" s="144"/>
      <c r="G9" s="144"/>
      <c r="H9" s="144"/>
      <c r="I9" s="144"/>
      <c r="J9" s="144"/>
      <c r="K9" s="144"/>
      <c r="L9" s="179" t="s">
        <v>117</v>
      </c>
      <c r="M9" s="179"/>
      <c r="N9" s="180">
        <v>25000</v>
      </c>
      <c r="O9" s="180">
        <v>10</v>
      </c>
      <c r="P9" s="180">
        <v>0</v>
      </c>
      <c r="Q9" s="180">
        <v>3400</v>
      </c>
      <c r="R9" s="181">
        <f>((((O9*Q9)/1000)^0.9)*N9*0.06)/(O9*Q9)</f>
        <v>1.0542494117307899</v>
      </c>
      <c r="S9" s="182"/>
      <c r="T9" s="360">
        <f t="shared" si="0"/>
        <v>1.0542494117307899</v>
      </c>
    </row>
    <row r="10" spans="1:20" ht="15.5" x14ac:dyDescent="0.35">
      <c r="A10" s="144"/>
      <c r="B10" s="201" t="s">
        <v>56</v>
      </c>
      <c r="C10" s="143"/>
      <c r="D10" s="143"/>
      <c r="E10" s="203">
        <f>N6</f>
        <v>2800</v>
      </c>
      <c r="F10" s="144"/>
      <c r="G10" s="144"/>
      <c r="H10" s="144"/>
      <c r="I10" s="144"/>
      <c r="J10" s="144"/>
      <c r="K10" s="144"/>
      <c r="L10" s="179" t="s">
        <v>115</v>
      </c>
      <c r="M10" s="179"/>
      <c r="N10" s="180">
        <v>5500</v>
      </c>
      <c r="O10" s="180">
        <v>15</v>
      </c>
      <c r="P10" s="180">
        <v>900</v>
      </c>
      <c r="Q10" s="180">
        <v>200</v>
      </c>
      <c r="R10" s="181">
        <f>((((O10*Q10)/1000)^1.3)*N10*0.41)/(O10*Q10)</f>
        <v>3.1353275790623756</v>
      </c>
      <c r="S10" s="585">
        <f>$N$10*$R$10/10000+($T$33*Fuel_Cents_Litre/100)</f>
        <v>1.8771268684843068</v>
      </c>
      <c r="T10" s="360">
        <f t="shared" si="0"/>
        <v>5.0124544475466823</v>
      </c>
    </row>
    <row r="11" spans="1:20" ht="15.5" x14ac:dyDescent="0.35">
      <c r="A11" s="144"/>
      <c r="B11" s="201" t="s">
        <v>112</v>
      </c>
      <c r="C11" s="143"/>
      <c r="D11" s="143"/>
      <c r="E11" s="203">
        <f>N14</f>
        <v>4000</v>
      </c>
      <c r="F11" s="144"/>
      <c r="G11" s="144"/>
      <c r="H11" s="144"/>
      <c r="I11" s="144"/>
      <c r="J11" s="144"/>
      <c r="K11" s="144"/>
      <c r="L11" s="179" t="s">
        <v>110</v>
      </c>
      <c r="M11" s="179"/>
      <c r="N11" s="180">
        <v>20000</v>
      </c>
      <c r="O11" s="180">
        <v>10</v>
      </c>
      <c r="P11" s="180">
        <v>4000</v>
      </c>
      <c r="Q11" s="180">
        <v>120</v>
      </c>
      <c r="R11" s="181">
        <f>((((O11*Q11)/1000)^1.3)*N11*0.41)/(O11*Q11)</f>
        <v>8.6610037412019167</v>
      </c>
      <c r="S11" s="585"/>
      <c r="T11" s="360">
        <f t="shared" si="0"/>
        <v>8.6610037412019167</v>
      </c>
    </row>
    <row r="12" spans="1:20" ht="15.5" x14ac:dyDescent="0.35">
      <c r="A12" s="144"/>
      <c r="B12" s="201" t="s">
        <v>114</v>
      </c>
      <c r="C12" s="143"/>
      <c r="D12" s="143"/>
      <c r="E12" s="203">
        <f>N7</f>
        <v>7800</v>
      </c>
      <c r="F12" s="144"/>
      <c r="G12" s="144"/>
      <c r="H12" s="144"/>
      <c r="I12" s="144"/>
      <c r="J12" s="144"/>
      <c r="K12" s="144"/>
      <c r="L12" s="191" t="s">
        <v>116</v>
      </c>
      <c r="M12" s="191"/>
      <c r="N12" s="192">
        <v>11500</v>
      </c>
      <c r="O12" s="192">
        <v>5</v>
      </c>
      <c r="P12" s="192">
        <v>2000</v>
      </c>
      <c r="Q12" s="192">
        <v>100</v>
      </c>
      <c r="R12" s="193">
        <f>((((O12*Q12)/1000)^2)*N12*0.3)/(O12*Q12)</f>
        <v>1.7250000000000001</v>
      </c>
      <c r="S12" s="139">
        <f>$N$12*$R$12/10000+($T$33*Fuel_Cents_Litre/100)</f>
        <v>2.1364467</v>
      </c>
      <c r="T12" s="361">
        <f t="shared" si="0"/>
        <v>3.8614467000000001</v>
      </c>
    </row>
    <row r="13" spans="1:20" ht="15.5" x14ac:dyDescent="0.35">
      <c r="A13" s="144"/>
      <c r="B13" s="201" t="s">
        <v>115</v>
      </c>
      <c r="C13" s="143"/>
      <c r="D13" s="143"/>
      <c r="E13" s="203">
        <f>N10</f>
        <v>5500</v>
      </c>
      <c r="F13" s="144"/>
      <c r="G13" s="144"/>
      <c r="H13" s="144"/>
      <c r="I13" s="144"/>
      <c r="J13" s="144"/>
      <c r="K13" s="144"/>
      <c r="L13" s="179" t="s">
        <v>108</v>
      </c>
      <c r="M13" s="179"/>
      <c r="N13" s="180">
        <v>900</v>
      </c>
      <c r="O13" s="180">
        <v>10</v>
      </c>
      <c r="P13" s="180">
        <v>100</v>
      </c>
      <c r="Q13" s="180">
        <v>150</v>
      </c>
      <c r="R13" s="181">
        <f>((((O13*Q13)/1000)^1.3)*N13*0.41)/(O13*Q13)</f>
        <v>0.41672901918357963</v>
      </c>
      <c r="S13" s="585"/>
      <c r="T13" s="360">
        <f t="shared" si="0"/>
        <v>0.41672901918357963</v>
      </c>
    </row>
    <row r="14" spans="1:20" ht="15.5" x14ac:dyDescent="0.35">
      <c r="A14" s="144"/>
      <c r="B14" s="201" t="s">
        <v>171</v>
      </c>
      <c r="C14" s="143"/>
      <c r="D14" s="143"/>
      <c r="E14" s="203">
        <f>N12</f>
        <v>11500</v>
      </c>
      <c r="F14" s="144"/>
      <c r="G14" s="144"/>
      <c r="H14" s="144"/>
      <c r="I14" s="144"/>
      <c r="J14" s="144"/>
      <c r="K14" s="144"/>
      <c r="L14" s="179" t="s">
        <v>112</v>
      </c>
      <c r="M14" s="179"/>
      <c r="N14" s="180">
        <v>4000</v>
      </c>
      <c r="O14" s="180">
        <v>15</v>
      </c>
      <c r="P14" s="180">
        <v>200</v>
      </c>
      <c r="Q14" s="180">
        <v>15</v>
      </c>
      <c r="R14" s="181">
        <f>((((O14*Q14)/1000)^1.4)*N14*0.23)/(O14*Q14)</f>
        <v>0.50659492478727985</v>
      </c>
      <c r="S14" s="585"/>
      <c r="T14" s="360">
        <f t="shared" si="0"/>
        <v>0.50659492478727985</v>
      </c>
    </row>
    <row r="15" spans="1:20" ht="15.5" x14ac:dyDescent="0.35">
      <c r="A15" s="185"/>
      <c r="B15" s="201" t="s">
        <v>209</v>
      </c>
      <c r="C15" s="143"/>
      <c r="D15" s="143"/>
      <c r="E15" s="203">
        <f>N9</f>
        <v>25000</v>
      </c>
      <c r="F15" s="185"/>
      <c r="G15" s="185"/>
      <c r="H15" s="185"/>
      <c r="I15" s="185"/>
      <c r="J15" s="185"/>
      <c r="K15" s="185"/>
      <c r="L15" s="179" t="s">
        <v>106</v>
      </c>
      <c r="M15" s="549">
        <v>65</v>
      </c>
      <c r="N15" s="180">
        <v>48000</v>
      </c>
      <c r="O15" s="180">
        <v>15</v>
      </c>
      <c r="P15" s="180">
        <v>4800</v>
      </c>
      <c r="Q15" s="180">
        <v>300</v>
      </c>
      <c r="R15" s="181">
        <f>((((O15*Q15)/1000)^2)*N15*0.01)/(O15*Q15)</f>
        <v>2.16</v>
      </c>
      <c r="S15" s="586">
        <f>$N$15*$R$15/10000+($T$33*Fuel_Cents_Litre/100)</f>
        <v>10.5206967</v>
      </c>
      <c r="T15" s="182">
        <f>R15+(O32*Q32*Fuel_Cents_Litre)</f>
        <v>15.415167705</v>
      </c>
    </row>
    <row r="16" spans="1:20" ht="15.5" x14ac:dyDescent="0.35">
      <c r="A16" s="144"/>
      <c r="B16" s="237" t="s">
        <v>118</v>
      </c>
      <c r="C16" s="284"/>
      <c r="D16" s="284"/>
      <c r="E16" s="552">
        <f>N5</f>
        <v>3000</v>
      </c>
      <c r="F16" s="144"/>
      <c r="G16" s="144"/>
      <c r="H16" s="144"/>
      <c r="I16" s="144"/>
      <c r="J16" s="144"/>
      <c r="K16" s="144"/>
      <c r="L16" s="179" t="s">
        <v>109</v>
      </c>
      <c r="M16" s="179"/>
      <c r="N16" s="180">
        <v>3700</v>
      </c>
      <c r="O16" s="180">
        <v>10</v>
      </c>
      <c r="P16" s="180">
        <v>400</v>
      </c>
      <c r="Q16" s="180">
        <v>30</v>
      </c>
      <c r="R16" s="181">
        <f>((((O16*Q16)/1000)^1.4)*N16*0.23)/(O16*Q16)</f>
        <v>0.52574852383286752</v>
      </c>
      <c r="S16" s="182"/>
      <c r="T16" s="360">
        <f>S16+R16</f>
        <v>0.52574852383286752</v>
      </c>
    </row>
    <row r="17" spans="1:20" ht="15.5" x14ac:dyDescent="0.35">
      <c r="A17" s="144"/>
      <c r="B17" s="550" t="str">
        <f>L19</f>
        <v>Total Machinery</v>
      </c>
      <c r="C17" s="284"/>
      <c r="D17" s="284"/>
      <c r="E17" s="552">
        <f>N19</f>
        <v>143780</v>
      </c>
      <c r="F17" s="144"/>
      <c r="G17" s="144"/>
      <c r="H17" s="144"/>
      <c r="I17" s="144"/>
      <c r="J17" s="144"/>
      <c r="K17" s="144"/>
      <c r="L17" s="365"/>
      <c r="M17" s="365"/>
      <c r="N17" s="366"/>
      <c r="O17" s="366"/>
      <c r="P17" s="366"/>
      <c r="Q17" s="366"/>
      <c r="R17" s="337"/>
      <c r="S17" s="367"/>
      <c r="T17" s="149"/>
    </row>
    <row r="18" spans="1:20" s="186" customFormat="1" x14ac:dyDescent="0.35">
      <c r="A18" s="185"/>
      <c r="B18" s="63"/>
      <c r="C18" s="63"/>
      <c r="D18" s="63"/>
      <c r="E18" s="178"/>
      <c r="F18" s="185"/>
      <c r="G18" s="185"/>
      <c r="H18" s="185"/>
      <c r="I18" s="185"/>
      <c r="J18" s="185"/>
      <c r="K18" s="185"/>
      <c r="L18" s="555"/>
      <c r="M18" s="556"/>
      <c r="N18" s="557"/>
      <c r="O18" s="556"/>
      <c r="P18" s="557"/>
      <c r="Q18" s="556"/>
      <c r="R18" s="556"/>
      <c r="S18" s="556"/>
      <c r="T18" s="558"/>
    </row>
    <row r="19" spans="1:20" x14ac:dyDescent="0.35">
      <c r="A19" s="144"/>
      <c r="B19" s="553" t="s">
        <v>208</v>
      </c>
      <c r="C19" s="107"/>
      <c r="D19" s="107"/>
      <c r="E19" s="174"/>
      <c r="F19" s="144"/>
      <c r="G19" s="144"/>
      <c r="H19" s="144"/>
      <c r="I19" s="144"/>
      <c r="J19" s="144"/>
      <c r="K19" s="144"/>
      <c r="L19" s="172" t="s">
        <v>362</v>
      </c>
      <c r="M19" s="150"/>
      <c r="N19" s="559">
        <f>SUM(N5:N18)</f>
        <v>143780</v>
      </c>
      <c r="O19" s="150"/>
      <c r="P19" s="559">
        <v>14900</v>
      </c>
      <c r="Q19" s="150"/>
      <c r="R19" s="150"/>
      <c r="S19" s="106"/>
      <c r="T19" s="560"/>
    </row>
    <row r="20" spans="1:20" ht="15.5" x14ac:dyDescent="0.35">
      <c r="A20" s="144"/>
      <c r="B20" s="201" t="s">
        <v>121</v>
      </c>
      <c r="C20" s="143"/>
      <c r="D20" s="143"/>
      <c r="E20" s="203">
        <f>N22</f>
        <v>3000</v>
      </c>
      <c r="F20" s="144"/>
      <c r="G20" s="144"/>
      <c r="H20" s="144"/>
      <c r="I20" s="144"/>
      <c r="J20" s="144"/>
      <c r="K20" s="144"/>
      <c r="L20" s="161"/>
      <c r="M20" s="161"/>
      <c r="N20" s="176"/>
      <c r="O20" s="161"/>
      <c r="P20" s="176"/>
      <c r="Q20" s="161"/>
      <c r="R20" s="161"/>
      <c r="S20" s="72"/>
      <c r="T20" s="183"/>
    </row>
    <row r="21" spans="1:20" ht="28.5" outlineLevel="1" x14ac:dyDescent="0.35">
      <c r="A21" s="144"/>
      <c r="B21" s="201" t="s">
        <v>122</v>
      </c>
      <c r="C21" s="143"/>
      <c r="D21" s="143"/>
      <c r="E21" s="203">
        <f t="shared" ref="E21:E24" si="1">N23</f>
        <v>1200</v>
      </c>
      <c r="F21" s="144"/>
      <c r="G21" s="144"/>
      <c r="H21" s="144"/>
      <c r="I21" s="144"/>
      <c r="J21" s="144"/>
      <c r="K21" s="144"/>
      <c r="L21" s="567" t="s">
        <v>208</v>
      </c>
      <c r="M21" s="175"/>
      <c r="N21" s="175"/>
      <c r="O21" s="175"/>
      <c r="P21" s="175"/>
      <c r="Q21" s="175"/>
      <c r="R21" s="175"/>
      <c r="S21" s="175"/>
      <c r="T21" s="184" t="s">
        <v>153</v>
      </c>
    </row>
    <row r="22" spans="1:20" ht="15.5" outlineLevel="1" x14ac:dyDescent="0.35">
      <c r="A22" s="144"/>
      <c r="B22" s="201" t="s">
        <v>172</v>
      </c>
      <c r="C22" s="143"/>
      <c r="D22" s="143"/>
      <c r="E22" s="203">
        <f t="shared" si="1"/>
        <v>26255.040000000001</v>
      </c>
      <c r="F22" s="144"/>
      <c r="G22" s="144"/>
      <c r="H22" s="144"/>
      <c r="I22" s="144"/>
      <c r="J22" s="144"/>
      <c r="K22" s="144"/>
      <c r="L22" s="156" t="s">
        <v>121</v>
      </c>
      <c r="M22" s="161"/>
      <c r="N22" s="176">
        <v>3000</v>
      </c>
      <c r="O22" s="176">
        <v>10</v>
      </c>
      <c r="P22" s="176">
        <v>100</v>
      </c>
      <c r="Q22" s="161"/>
      <c r="R22" s="177">
        <v>2</v>
      </c>
      <c r="S22" s="72"/>
      <c r="T22" s="31">
        <f>N22*R22/100</f>
        <v>60</v>
      </c>
    </row>
    <row r="23" spans="1:20" ht="15.5" outlineLevel="1" x14ac:dyDescent="0.35">
      <c r="A23" s="144"/>
      <c r="B23" s="201" t="s">
        <v>125</v>
      </c>
      <c r="C23" s="143"/>
      <c r="D23" s="143"/>
      <c r="E23" s="203">
        <f t="shared" si="1"/>
        <v>25000</v>
      </c>
      <c r="F23" s="144"/>
      <c r="G23" s="144"/>
      <c r="H23" s="144"/>
      <c r="I23" s="144"/>
      <c r="J23" s="144"/>
      <c r="K23" s="144"/>
      <c r="L23" s="156" t="s">
        <v>122</v>
      </c>
      <c r="M23" s="161"/>
      <c r="N23" s="176">
        <v>1200</v>
      </c>
      <c r="O23" s="176">
        <v>10</v>
      </c>
      <c r="P23" s="176">
        <v>100</v>
      </c>
      <c r="Q23" s="161"/>
      <c r="R23" s="177">
        <v>2</v>
      </c>
      <c r="S23" s="72"/>
      <c r="T23" s="31">
        <f t="shared" ref="T23:T25" si="2">N23*R23/100</f>
        <v>24</v>
      </c>
    </row>
    <row r="24" spans="1:20" ht="15.5" outlineLevel="1" x14ac:dyDescent="0.35">
      <c r="A24" s="144"/>
      <c r="B24" s="561" t="str">
        <f>L26</f>
        <v>Other Capital</v>
      </c>
      <c r="C24" s="562"/>
      <c r="D24" s="562"/>
      <c r="E24" s="563">
        <f t="shared" si="1"/>
        <v>55455.040000000001</v>
      </c>
      <c r="F24" s="144"/>
      <c r="G24" s="144"/>
      <c r="H24" s="144"/>
      <c r="I24" s="144"/>
      <c r="J24" s="144"/>
      <c r="K24" s="144"/>
      <c r="L24" s="156" t="s">
        <v>124</v>
      </c>
      <c r="M24" s="161"/>
      <c r="N24" s="176">
        <v>26255.040000000001</v>
      </c>
      <c r="O24" s="176">
        <v>20</v>
      </c>
      <c r="P24" s="176">
        <v>1600</v>
      </c>
      <c r="Q24" s="161"/>
      <c r="R24" s="177">
        <v>1</v>
      </c>
      <c r="S24" s="72"/>
      <c r="T24" s="31">
        <f t="shared" si="2"/>
        <v>262.55040000000002</v>
      </c>
    </row>
    <row r="25" spans="1:20" ht="15.5" outlineLevel="1" x14ac:dyDescent="0.35">
      <c r="A25" s="144"/>
      <c r="B25" s="204"/>
      <c r="C25" s="143"/>
      <c r="D25" s="143"/>
      <c r="E25" s="202"/>
      <c r="F25" s="144"/>
      <c r="G25" s="144"/>
      <c r="H25" s="144"/>
      <c r="I25" s="144"/>
      <c r="J25" s="144"/>
      <c r="K25" s="144"/>
      <c r="L25" s="156" t="s">
        <v>125</v>
      </c>
      <c r="M25" s="161"/>
      <c r="N25" s="176">
        <v>25000</v>
      </c>
      <c r="O25" s="176">
        <v>20</v>
      </c>
      <c r="P25" s="176">
        <v>2500</v>
      </c>
      <c r="Q25" s="161"/>
      <c r="R25" s="177">
        <v>1</v>
      </c>
      <c r="S25" s="72"/>
      <c r="T25" s="31">
        <f t="shared" si="2"/>
        <v>250</v>
      </c>
    </row>
    <row r="26" spans="1:20" ht="15" outlineLevel="1" thickBot="1" x14ac:dyDescent="0.4">
      <c r="A26" s="144"/>
      <c r="B26" s="566" t="str">
        <f>L26</f>
        <v>Other Capital</v>
      </c>
      <c r="C26" s="564"/>
      <c r="D26" s="564"/>
      <c r="E26" s="565">
        <f>N28</f>
        <v>199800.24</v>
      </c>
      <c r="F26" s="144"/>
      <c r="G26" s="144"/>
      <c r="H26" s="144"/>
      <c r="I26" s="144"/>
      <c r="J26" s="144"/>
      <c r="K26" s="144"/>
      <c r="L26" s="165" t="s">
        <v>363</v>
      </c>
      <c r="M26" s="166"/>
      <c r="N26" s="167">
        <f>SUM(N22:N25)</f>
        <v>55455.040000000001</v>
      </c>
      <c r="O26" s="166"/>
      <c r="P26" s="167">
        <v>4350</v>
      </c>
      <c r="Q26" s="166"/>
      <c r="R26" s="166"/>
      <c r="S26" s="107"/>
      <c r="T26" s="173">
        <f>SUM(T22:T25)</f>
        <v>596.55040000000008</v>
      </c>
    </row>
    <row r="27" spans="1:20" ht="15" outlineLevel="1" thickTop="1" x14ac:dyDescent="0.35">
      <c r="A27" s="144"/>
      <c r="B27" s="144"/>
      <c r="C27" s="144"/>
      <c r="D27" s="144"/>
      <c r="E27" s="144"/>
      <c r="F27" s="144"/>
      <c r="G27" s="144"/>
      <c r="H27" s="144"/>
      <c r="I27" s="144"/>
      <c r="J27" s="144"/>
      <c r="K27" s="144"/>
      <c r="L27" s="162"/>
      <c r="M27" s="161"/>
      <c r="N27" s="163"/>
      <c r="O27" s="161"/>
      <c r="P27" s="163"/>
      <c r="Q27" s="161"/>
      <c r="R27" s="161"/>
      <c r="S27" s="164"/>
      <c r="T27" s="144"/>
    </row>
    <row r="28" spans="1:20" outlineLevel="1" x14ac:dyDescent="0.35">
      <c r="A28" s="144"/>
      <c r="B28" s="144"/>
      <c r="C28" s="144"/>
      <c r="D28" s="144"/>
      <c r="E28" s="144"/>
      <c r="F28" s="144"/>
      <c r="G28" s="144"/>
      <c r="H28" s="144"/>
      <c r="I28" s="144"/>
      <c r="J28" s="144"/>
      <c r="K28" s="144"/>
      <c r="L28" s="165" t="s">
        <v>126</v>
      </c>
      <c r="M28" s="166"/>
      <c r="N28" s="167">
        <v>199800.24</v>
      </c>
      <c r="O28" s="166"/>
      <c r="P28" s="167">
        <v>19250</v>
      </c>
      <c r="Q28" s="166"/>
      <c r="R28" s="166"/>
      <c r="S28" s="168"/>
      <c r="T28" s="174"/>
    </row>
    <row r="29" spans="1:20" x14ac:dyDescent="0.35">
      <c r="A29" s="144"/>
      <c r="B29" s="144"/>
      <c r="C29" s="144"/>
      <c r="D29" s="144"/>
      <c r="E29" s="144"/>
      <c r="F29" s="144"/>
      <c r="G29" s="144"/>
      <c r="H29" s="144"/>
      <c r="I29" s="144"/>
      <c r="J29" s="144"/>
      <c r="K29" s="144"/>
      <c r="L29" s="158" t="s">
        <v>127</v>
      </c>
      <c r="M29" s="144"/>
      <c r="N29" s="145"/>
      <c r="O29" s="144"/>
      <c r="P29" s="145"/>
      <c r="Q29" s="144"/>
      <c r="R29" s="144"/>
      <c r="S29" s="145"/>
      <c r="T29" s="144"/>
    </row>
    <row r="30" spans="1:20" x14ac:dyDescent="0.35">
      <c r="A30" s="144"/>
      <c r="B30" s="144"/>
      <c r="C30" s="144"/>
      <c r="D30" s="144"/>
      <c r="E30" s="554"/>
      <c r="F30" s="144"/>
      <c r="G30" s="144"/>
      <c r="H30" s="144"/>
      <c r="I30" s="144"/>
      <c r="J30" s="144"/>
      <c r="K30" s="144"/>
      <c r="L30" s="159" t="s">
        <v>128</v>
      </c>
      <c r="M30" s="144"/>
      <c r="N30" s="144"/>
      <c r="O30" s="144"/>
      <c r="P30" s="144"/>
      <c r="Q30" s="144"/>
      <c r="R30" s="144"/>
      <c r="S30" s="144"/>
      <c r="T30" s="144"/>
    </row>
    <row r="31" spans="1:20" x14ac:dyDescent="0.35">
      <c r="A31" s="144"/>
      <c r="B31" s="144"/>
      <c r="C31" s="144"/>
      <c r="D31" s="144"/>
      <c r="E31" s="144"/>
      <c r="F31" s="144"/>
      <c r="G31" s="144"/>
      <c r="H31" s="144"/>
      <c r="I31" s="144"/>
      <c r="J31" s="144"/>
      <c r="K31" s="144"/>
      <c r="L31" s="169" t="s">
        <v>129</v>
      </c>
      <c r="M31" s="146"/>
      <c r="N31" s="146"/>
      <c r="O31" s="146"/>
      <c r="P31" s="146"/>
      <c r="Q31" s="151" t="s">
        <v>130</v>
      </c>
      <c r="R31" s="146"/>
      <c r="S31" s="146"/>
      <c r="T31" s="147" t="s">
        <v>131</v>
      </c>
    </row>
    <row r="32" spans="1:20" x14ac:dyDescent="0.35">
      <c r="A32" s="144"/>
      <c r="B32" s="144"/>
      <c r="C32" s="144"/>
      <c r="D32" s="144"/>
      <c r="E32" s="144"/>
      <c r="F32" s="144"/>
      <c r="G32" s="144"/>
      <c r="H32" s="144"/>
      <c r="I32" s="144"/>
      <c r="J32" s="144"/>
      <c r="K32" s="144"/>
      <c r="L32" s="156" t="s">
        <v>132</v>
      </c>
      <c r="M32" s="161"/>
      <c r="N32" s="170" t="s">
        <v>133</v>
      </c>
      <c r="O32" s="171">
        <v>65</v>
      </c>
      <c r="P32" s="162" t="s">
        <v>134</v>
      </c>
      <c r="Q32" s="162">
        <v>0.16867299999999999</v>
      </c>
      <c r="R32" s="161" t="s">
        <v>135</v>
      </c>
      <c r="S32" s="161"/>
      <c r="T32" s="148">
        <v>1.1359999999999999</v>
      </c>
    </row>
    <row r="33" spans="1:20" x14ac:dyDescent="0.35">
      <c r="A33" s="144"/>
      <c r="B33" s="144"/>
      <c r="C33" s="144"/>
      <c r="D33" s="144"/>
      <c r="E33" s="144"/>
      <c r="F33" s="144"/>
      <c r="G33" s="144"/>
      <c r="H33" s="144"/>
      <c r="I33" s="144"/>
      <c r="J33" s="144"/>
      <c r="K33" s="144"/>
      <c r="L33" s="172" t="s">
        <v>136</v>
      </c>
      <c r="M33" s="152">
        <f>'Producer Input'!G39</f>
        <v>1.2090000000000001</v>
      </c>
      <c r="N33" s="150" t="s">
        <v>137</v>
      </c>
      <c r="O33" s="150"/>
      <c r="P33" s="152"/>
      <c r="Q33" s="150"/>
      <c r="R33" s="150" t="s">
        <v>138</v>
      </c>
      <c r="S33" s="150"/>
      <c r="T33" s="153">
        <v>12.63</v>
      </c>
    </row>
    <row r="34" spans="1:20" x14ac:dyDescent="0.35">
      <c r="A34" s="144"/>
      <c r="B34" s="144"/>
      <c r="C34" s="144"/>
      <c r="D34" s="144"/>
      <c r="E34" s="144"/>
      <c r="F34" s="144"/>
      <c r="G34" s="144"/>
      <c r="H34" s="144"/>
      <c r="I34" s="144"/>
      <c r="J34" s="144"/>
      <c r="K34" s="144"/>
      <c r="L34" s="144"/>
      <c r="M34" s="144"/>
      <c r="N34" s="144"/>
      <c r="O34" s="144"/>
      <c r="P34" s="145"/>
      <c r="Q34" s="144"/>
      <c r="R34" s="144"/>
      <c r="S34" s="144"/>
      <c r="T34" s="144"/>
    </row>
    <row r="35" spans="1:20" x14ac:dyDescent="0.35">
      <c r="A35" s="144"/>
      <c r="B35" s="144"/>
      <c r="C35" s="144"/>
      <c r="D35" s="144"/>
      <c r="F35" s="144"/>
      <c r="G35" s="144"/>
      <c r="H35" s="144"/>
      <c r="I35" s="144"/>
      <c r="J35" s="144"/>
      <c r="K35" s="144"/>
      <c r="L35" s="144"/>
      <c r="M35" s="144"/>
      <c r="N35" s="144"/>
      <c r="O35" s="144"/>
      <c r="P35" s="145"/>
      <c r="Q35" s="144"/>
      <c r="R35" s="144"/>
      <c r="S35" s="144"/>
      <c r="T35" s="144"/>
    </row>
    <row r="36" spans="1:20" x14ac:dyDescent="0.35">
      <c r="A36" s="144"/>
      <c r="F36" s="144"/>
      <c r="G36" s="144"/>
      <c r="H36" s="144"/>
      <c r="I36" s="144"/>
      <c r="J36" s="144"/>
      <c r="K36" s="144"/>
      <c r="Q36" s="144"/>
      <c r="R36" s="144"/>
      <c r="S36" s="144"/>
      <c r="T36" s="144"/>
    </row>
    <row r="37" spans="1:20" x14ac:dyDescent="0.35">
      <c r="A37" s="144"/>
      <c r="F37" s="144"/>
      <c r="G37" s="144"/>
      <c r="H37" s="144"/>
      <c r="I37" s="144"/>
      <c r="J37" s="144"/>
      <c r="K37" s="144"/>
      <c r="Q37" s="144"/>
      <c r="R37" s="144"/>
      <c r="S37" s="144"/>
      <c r="T37" s="144"/>
    </row>
    <row r="38" spans="1:20" x14ac:dyDescent="0.35">
      <c r="A38" s="144" t="s">
        <v>151</v>
      </c>
      <c r="F38" s="144"/>
      <c r="G38" s="144"/>
      <c r="H38" s="144"/>
      <c r="I38" s="144"/>
      <c r="J38" s="144"/>
      <c r="K38" s="144"/>
      <c r="L38" s="63" t="s">
        <v>46</v>
      </c>
      <c r="R38" s="144"/>
      <c r="S38" s="144"/>
      <c r="T38" s="144"/>
    </row>
    <row r="39" spans="1:20" x14ac:dyDescent="0.35">
      <c r="A39" s="63" t="s">
        <v>152</v>
      </c>
      <c r="L39" s="63" t="s">
        <v>32</v>
      </c>
      <c r="N39" s="157"/>
      <c r="Q39" s="157"/>
    </row>
    <row r="40" spans="1:20" x14ac:dyDescent="0.35">
      <c r="A40" s="63" t="s">
        <v>29</v>
      </c>
      <c r="L40" s="63" t="s">
        <v>33</v>
      </c>
      <c r="N40" s="157"/>
      <c r="Q40" s="157"/>
      <c r="R40" s="109"/>
      <c r="S40" s="109"/>
    </row>
    <row r="41" spans="1:20" x14ac:dyDescent="0.35">
      <c r="L41" s="63" t="s">
        <v>35</v>
      </c>
      <c r="N41" s="157"/>
      <c r="Q41" s="157"/>
      <c r="R41" s="109"/>
      <c r="S41" s="109"/>
      <c r="T41" s="109"/>
    </row>
    <row r="42" spans="1:20" x14ac:dyDescent="0.35">
      <c r="A42" s="63" t="s">
        <v>30</v>
      </c>
      <c r="L42" s="63" t="s">
        <v>36</v>
      </c>
      <c r="N42" s="5">
        <v>0.05</v>
      </c>
    </row>
    <row r="43" spans="1:20" x14ac:dyDescent="0.35">
      <c r="A43" s="63" t="s">
        <v>31</v>
      </c>
      <c r="E43" s="6"/>
    </row>
    <row r="44" spans="1:20" x14ac:dyDescent="0.35">
      <c r="A44" s="63" t="s">
        <v>29</v>
      </c>
      <c r="B44" s="6"/>
      <c r="C44" s="6"/>
      <c r="D44" s="6"/>
      <c r="E44" s="6"/>
    </row>
    <row r="45" spans="1:20" x14ac:dyDescent="0.35">
      <c r="A45" s="63" t="s">
        <v>34</v>
      </c>
      <c r="B45" s="6"/>
      <c r="C45" s="6"/>
      <c r="D45" s="6"/>
      <c r="E45" s="6"/>
    </row>
    <row r="46" spans="1:20" x14ac:dyDescent="0.35">
      <c r="B46" s="6"/>
      <c r="C46" s="6"/>
      <c r="D46" s="6"/>
      <c r="E46" s="6"/>
    </row>
    <row r="47" spans="1:20" x14ac:dyDescent="0.35">
      <c r="A47" s="218" t="s">
        <v>47</v>
      </c>
      <c r="B47" s="6"/>
      <c r="C47" s="6"/>
      <c r="D47" s="6"/>
      <c r="F47" s="6"/>
      <c r="G47" s="6"/>
      <c r="H47" s="6"/>
      <c r="I47" s="6"/>
      <c r="J47" s="6"/>
      <c r="K47" s="6"/>
    </row>
    <row r="48" spans="1:20" x14ac:dyDescent="0.35">
      <c r="A48" s="6" t="s">
        <v>48</v>
      </c>
      <c r="F48" s="6"/>
      <c r="G48" s="6"/>
      <c r="H48" s="6"/>
      <c r="I48" s="6"/>
      <c r="J48" s="6"/>
      <c r="K48" s="6"/>
    </row>
    <row r="49" spans="1:13" x14ac:dyDescent="0.35">
      <c r="A49" s="6" t="s">
        <v>139</v>
      </c>
      <c r="F49" s="6"/>
      <c r="G49" s="6"/>
      <c r="H49" s="6"/>
      <c r="I49" s="6"/>
      <c r="J49" s="6"/>
      <c r="K49" s="6"/>
    </row>
    <row r="50" spans="1:13" x14ac:dyDescent="0.35">
      <c r="A50" s="6"/>
      <c r="F50" s="6"/>
      <c r="G50" s="6"/>
      <c r="H50" s="6"/>
      <c r="I50" s="6"/>
      <c r="J50" s="6"/>
      <c r="K50" s="6"/>
      <c r="L50" s="63" t="s">
        <v>148</v>
      </c>
    </row>
    <row r="51" spans="1:13" x14ac:dyDescent="0.35">
      <c r="L51" s="154">
        <v>4.8000000000000001E-2</v>
      </c>
      <c r="M51" s="63" t="s">
        <v>140</v>
      </c>
    </row>
    <row r="52" spans="1:13" x14ac:dyDescent="0.35">
      <c r="L52" s="160">
        <v>0.19</v>
      </c>
      <c r="M52" s="63" t="s">
        <v>141</v>
      </c>
    </row>
    <row r="53" spans="1:13" x14ac:dyDescent="0.35">
      <c r="M53" s="63" t="s">
        <v>142</v>
      </c>
    </row>
    <row r="54" spans="1:13" x14ac:dyDescent="0.35">
      <c r="M54" s="63" t="s">
        <v>143</v>
      </c>
    </row>
    <row r="55" spans="1:13" x14ac:dyDescent="0.35">
      <c r="M55" s="63" t="s">
        <v>144</v>
      </c>
    </row>
    <row r="56" spans="1:13" x14ac:dyDescent="0.35">
      <c r="L56" s="160">
        <v>0.105</v>
      </c>
      <c r="M56" s="63" t="s">
        <v>145</v>
      </c>
    </row>
    <row r="57" spans="1:13" x14ac:dyDescent="0.35">
      <c r="M57" s="63" t="s">
        <v>146</v>
      </c>
    </row>
    <row r="58" spans="1:13" x14ac:dyDescent="0.35">
      <c r="M58" s="63" t="s">
        <v>147</v>
      </c>
    </row>
  </sheetData>
  <sortState xmlns:xlrd2="http://schemas.microsoft.com/office/spreadsheetml/2017/richdata2" ref="G5:I16">
    <sortCondition ref="G5:G16"/>
  </sortState>
  <mergeCells count="2">
    <mergeCell ref="B2:E2"/>
    <mergeCell ref="B3:E3"/>
  </mergeCells>
  <hyperlinks>
    <hyperlink ref="A47" r:id="rId1" xr:uid="{00000000-0004-0000-0A00-000000000000}"/>
  </hyperlinks>
  <pageMargins left="0.7" right="0.7" top="0.75" bottom="0.75" header="0.3" footer="0.3"/>
  <pageSetup orientation="portrait" horizontalDpi="0" verticalDpi="0"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
  <sheetViews>
    <sheetView zoomScale="90" zoomScaleNormal="90" workbookViewId="0">
      <pane xSplit="18" ySplit="16" topLeftCell="S17" activePane="bottomRight" state="frozen"/>
      <selection pane="topRight" activeCell="S1" sqref="S1"/>
      <selection pane="bottomLeft" activeCell="A17" sqref="A17"/>
      <selection pane="bottomRight" activeCell="B4" sqref="B4"/>
    </sheetView>
  </sheetViews>
  <sheetFormatPr defaultRowHeight="14.5" x14ac:dyDescent="0.35"/>
  <cols>
    <col min="1" max="1" width="3" customWidth="1"/>
    <col min="4" max="4" width="13.26953125" bestFit="1" customWidth="1"/>
    <col min="5" max="5" width="5.81640625" customWidth="1"/>
    <col min="6" max="6" width="5.1796875" customWidth="1"/>
  </cols>
  <sheetData>
    <row r="1" spans="1:19" ht="15.5" x14ac:dyDescent="0.35">
      <c r="A1" s="583" t="s">
        <v>356</v>
      </c>
      <c r="B1" s="571"/>
      <c r="C1" s="571"/>
      <c r="D1" s="571"/>
      <c r="E1" s="571"/>
      <c r="F1" s="571"/>
      <c r="G1" s="571"/>
      <c r="H1" s="571"/>
      <c r="I1" s="571"/>
      <c r="J1" s="571"/>
      <c r="K1" s="571"/>
      <c r="L1" s="571"/>
      <c r="M1" s="584"/>
      <c r="N1" s="571"/>
      <c r="O1" s="571"/>
      <c r="P1" s="571"/>
      <c r="Q1" s="571"/>
      <c r="R1" s="571"/>
      <c r="S1" s="144"/>
    </row>
    <row r="2" spans="1:19" ht="15.5" x14ac:dyDescent="0.35">
      <c r="A2" s="581">
        <v>1</v>
      </c>
      <c r="B2" s="571" t="s">
        <v>375</v>
      </c>
      <c r="C2" s="571"/>
      <c r="D2" s="571"/>
      <c r="E2" s="571"/>
      <c r="F2" s="571"/>
      <c r="G2" s="571"/>
      <c r="H2" s="571"/>
      <c r="I2" s="571"/>
      <c r="J2" s="571"/>
      <c r="K2" s="571"/>
      <c r="L2" s="571"/>
      <c r="M2" s="584"/>
      <c r="N2" s="571"/>
      <c r="O2" s="571"/>
      <c r="P2" s="571"/>
      <c r="Q2" s="571"/>
      <c r="R2" s="571"/>
      <c r="S2" s="144"/>
    </row>
    <row r="3" spans="1:19" ht="15.5" x14ac:dyDescent="0.35">
      <c r="A3" s="581">
        <v>2</v>
      </c>
      <c r="B3" s="571" t="s">
        <v>420</v>
      </c>
      <c r="C3" s="571"/>
      <c r="D3" s="571"/>
      <c r="E3" s="571"/>
      <c r="F3" s="571"/>
      <c r="G3" s="571"/>
      <c r="H3" s="571"/>
      <c r="I3" s="571"/>
      <c r="J3" s="571"/>
      <c r="K3" s="571"/>
      <c r="L3" s="571"/>
      <c r="M3" s="584"/>
      <c r="N3" s="571"/>
      <c r="O3" s="571"/>
      <c r="P3" s="571"/>
      <c r="Q3" s="571"/>
      <c r="R3" s="571"/>
      <c r="S3" s="144"/>
    </row>
    <row r="4" spans="1:19" ht="15.5" x14ac:dyDescent="0.35">
      <c r="A4" s="581">
        <v>3</v>
      </c>
      <c r="B4" s="571" t="s">
        <v>380</v>
      </c>
      <c r="C4" s="571"/>
      <c r="D4" s="571"/>
      <c r="E4" s="571"/>
      <c r="F4" s="571"/>
      <c r="G4" s="571"/>
      <c r="H4" s="571"/>
      <c r="I4" s="571"/>
      <c r="J4" s="571"/>
      <c r="K4" s="571"/>
      <c r="L4" s="571"/>
      <c r="M4" s="584"/>
      <c r="N4" s="571"/>
      <c r="O4" s="571"/>
      <c r="P4" s="571"/>
      <c r="Q4" s="571"/>
      <c r="R4" s="571"/>
      <c r="S4" s="144"/>
    </row>
    <row r="5" spans="1:19" ht="15.5" x14ac:dyDescent="0.35">
      <c r="A5" s="581">
        <v>4</v>
      </c>
      <c r="B5" s="571" t="s">
        <v>381</v>
      </c>
      <c r="C5" s="571"/>
      <c r="D5" s="571"/>
      <c r="E5" s="571"/>
      <c r="F5" s="571"/>
      <c r="G5" s="571"/>
      <c r="H5" s="571"/>
      <c r="I5" s="571"/>
      <c r="J5" s="571"/>
      <c r="K5" s="571"/>
      <c r="L5" s="571"/>
      <c r="M5" s="584"/>
      <c r="N5" s="571"/>
      <c r="O5" s="571"/>
      <c r="P5" s="571"/>
      <c r="Q5" s="571"/>
      <c r="R5" s="571"/>
      <c r="S5" s="144"/>
    </row>
    <row r="6" spans="1:19" ht="15.5" x14ac:dyDescent="0.35">
      <c r="A6" s="581"/>
      <c r="B6" s="571" t="s">
        <v>382</v>
      </c>
      <c r="C6" s="571"/>
      <c r="D6" s="571"/>
      <c r="E6" s="571"/>
      <c r="F6" s="571"/>
      <c r="G6" s="571"/>
      <c r="H6" s="571"/>
      <c r="I6" s="571"/>
      <c r="J6" s="571"/>
      <c r="K6" s="571"/>
      <c r="L6" s="571"/>
      <c r="M6" s="584"/>
      <c r="N6" s="571"/>
      <c r="O6" s="571"/>
      <c r="P6" s="571"/>
      <c r="Q6" s="571"/>
      <c r="R6" s="571"/>
      <c r="S6" s="144"/>
    </row>
    <row r="7" spans="1:19" ht="15.5" x14ac:dyDescent="0.35">
      <c r="A7" s="581"/>
      <c r="B7" s="571"/>
      <c r="C7" s="571"/>
      <c r="D7" s="571"/>
      <c r="E7" s="571"/>
      <c r="F7" s="571"/>
      <c r="G7" s="571"/>
      <c r="H7" s="571"/>
      <c r="I7" s="571"/>
      <c r="J7" s="571"/>
      <c r="K7" s="571"/>
      <c r="L7" s="571"/>
      <c r="M7" s="584"/>
      <c r="N7" s="571"/>
      <c r="O7" s="571"/>
      <c r="P7" s="571"/>
      <c r="Q7" s="571"/>
      <c r="R7" s="571"/>
      <c r="S7" s="144"/>
    </row>
    <row r="8" spans="1:19" ht="15.5" x14ac:dyDescent="0.35">
      <c r="A8" s="581"/>
      <c r="B8" s="572" t="s">
        <v>376</v>
      </c>
      <c r="C8" s="571"/>
      <c r="D8" s="571"/>
      <c r="E8" s="571"/>
      <c r="F8" s="571"/>
      <c r="G8" s="587" t="s">
        <v>357</v>
      </c>
      <c r="H8" s="587" t="s">
        <v>213</v>
      </c>
      <c r="I8" s="571"/>
      <c r="J8" s="571"/>
      <c r="K8" s="571"/>
      <c r="L8" s="571"/>
      <c r="M8" s="584"/>
      <c r="N8" s="571"/>
      <c r="O8" s="571"/>
      <c r="P8" s="571"/>
      <c r="Q8" s="571"/>
      <c r="R8" s="571"/>
      <c r="S8" s="144"/>
    </row>
    <row r="9" spans="1:19" ht="15.5" x14ac:dyDescent="0.35">
      <c r="A9" s="581"/>
      <c r="B9" s="573" t="s">
        <v>218</v>
      </c>
      <c r="C9" s="574"/>
      <c r="D9" s="575" t="s">
        <v>358</v>
      </c>
      <c r="E9" s="576">
        <v>1</v>
      </c>
      <c r="F9" s="577" t="s">
        <v>80</v>
      </c>
      <c r="G9" s="578">
        <v>1.1499999999999999</v>
      </c>
      <c r="H9" s="579">
        <v>1.1499999999999999</v>
      </c>
      <c r="I9" s="588" t="s">
        <v>377</v>
      </c>
      <c r="J9" s="571"/>
      <c r="K9" s="571"/>
      <c r="L9" s="571"/>
      <c r="M9" s="584"/>
      <c r="N9" s="571"/>
      <c r="O9" s="571"/>
      <c r="P9" s="571"/>
      <c r="Q9" s="571"/>
      <c r="R9" s="571"/>
      <c r="S9" s="144"/>
    </row>
    <row r="10" spans="1:19" ht="15.5" x14ac:dyDescent="0.35">
      <c r="A10" s="581"/>
      <c r="B10" s="571"/>
      <c r="C10" s="571"/>
      <c r="D10" s="571"/>
      <c r="E10" s="571"/>
      <c r="F10" s="571"/>
      <c r="G10" s="571"/>
      <c r="H10" s="571"/>
      <c r="I10" s="584"/>
      <c r="J10" s="571"/>
      <c r="K10" s="571"/>
      <c r="L10" s="571"/>
      <c r="M10" s="584"/>
      <c r="N10" s="571"/>
      <c r="O10" s="571"/>
      <c r="P10" s="571"/>
      <c r="Q10" s="571"/>
      <c r="R10" s="571"/>
      <c r="S10" s="144"/>
    </row>
    <row r="11" spans="1:19" ht="15.5" x14ac:dyDescent="0.35">
      <c r="A11" s="581"/>
      <c r="B11" s="573" t="s">
        <v>218</v>
      </c>
      <c r="C11" s="574"/>
      <c r="D11" s="575" t="s">
        <v>358</v>
      </c>
      <c r="E11" s="576">
        <v>1</v>
      </c>
      <c r="F11" s="577" t="s">
        <v>80</v>
      </c>
      <c r="G11" s="578">
        <v>1.1499999999999999</v>
      </c>
      <c r="H11" s="579">
        <v>1.25</v>
      </c>
      <c r="I11" s="588" t="s">
        <v>378</v>
      </c>
      <c r="J11" s="571"/>
      <c r="K11" s="571"/>
      <c r="L11" s="571"/>
      <c r="M11" s="584"/>
      <c r="N11" s="571"/>
      <c r="O11" s="571"/>
      <c r="P11" s="571"/>
      <c r="Q11" s="571"/>
      <c r="R11" s="571"/>
      <c r="S11" s="144"/>
    </row>
    <row r="12" spans="1:19" ht="15.5" x14ac:dyDescent="0.35">
      <c r="A12" s="581"/>
      <c r="B12" s="571"/>
      <c r="C12" s="571"/>
      <c r="D12" s="571"/>
      <c r="E12" s="580"/>
      <c r="F12" s="581"/>
      <c r="G12" s="582"/>
      <c r="H12" s="582"/>
      <c r="I12" s="589"/>
      <c r="J12" s="571"/>
      <c r="K12" s="571"/>
      <c r="L12" s="571"/>
      <c r="M12" s="584"/>
      <c r="N12" s="571"/>
      <c r="O12" s="571"/>
      <c r="P12" s="571"/>
      <c r="Q12" s="571"/>
      <c r="R12" s="571"/>
      <c r="S12" s="144"/>
    </row>
    <row r="13" spans="1:19" ht="15.5" x14ac:dyDescent="0.35">
      <c r="A13" s="581">
        <v>5</v>
      </c>
      <c r="B13" s="571" t="s">
        <v>379</v>
      </c>
      <c r="C13" s="571"/>
      <c r="D13" s="571"/>
      <c r="E13" s="571"/>
      <c r="F13" s="571"/>
      <c r="G13" s="571"/>
      <c r="H13" s="571"/>
      <c r="I13" s="571"/>
      <c r="J13" s="571"/>
      <c r="K13" s="571"/>
      <c r="L13" s="571"/>
      <c r="M13" s="584"/>
      <c r="N13" s="571"/>
      <c r="O13" s="571"/>
      <c r="P13" s="571"/>
      <c r="Q13" s="571"/>
      <c r="R13" s="571"/>
      <c r="S13" s="144"/>
    </row>
    <row r="14" spans="1:19" ht="15.5" x14ac:dyDescent="0.35">
      <c r="A14" s="581">
        <v>6</v>
      </c>
      <c r="B14" s="571" t="s">
        <v>383</v>
      </c>
      <c r="C14" s="571"/>
      <c r="D14" s="571"/>
      <c r="E14" s="571"/>
      <c r="F14" s="571"/>
      <c r="G14" s="571"/>
      <c r="H14" s="571"/>
      <c r="I14" s="571"/>
      <c r="J14" s="571"/>
      <c r="K14" s="571"/>
      <c r="L14" s="571"/>
      <c r="M14" s="584"/>
      <c r="N14" s="571"/>
      <c r="O14" s="571"/>
      <c r="P14" s="571"/>
      <c r="Q14" s="571"/>
      <c r="R14" s="571"/>
      <c r="S14" s="144"/>
    </row>
    <row r="15" spans="1:19" ht="15.5" x14ac:dyDescent="0.35">
      <c r="A15" s="581">
        <v>7</v>
      </c>
      <c r="B15" s="584" t="s">
        <v>384</v>
      </c>
      <c r="C15" s="571"/>
      <c r="D15" s="571"/>
      <c r="E15" s="571"/>
      <c r="F15" s="571"/>
      <c r="G15" s="571"/>
      <c r="H15" s="571"/>
      <c r="I15" s="571"/>
      <c r="J15" s="571"/>
      <c r="K15" s="571"/>
      <c r="L15" s="571"/>
      <c r="M15" s="584"/>
      <c r="N15" s="571"/>
      <c r="O15" s="571"/>
      <c r="P15" s="571"/>
      <c r="Q15" s="571"/>
      <c r="R15" s="571"/>
      <c r="S15" s="144"/>
    </row>
    <row r="16" spans="1:19" ht="15.5" x14ac:dyDescent="0.35">
      <c r="A16" s="581">
        <v>8</v>
      </c>
      <c r="B16" s="571" t="s">
        <v>385</v>
      </c>
      <c r="C16" s="571"/>
      <c r="D16" s="571"/>
      <c r="E16" s="571"/>
      <c r="F16" s="571"/>
      <c r="G16" s="571"/>
      <c r="H16" s="571"/>
      <c r="I16" s="571"/>
      <c r="J16" s="571"/>
      <c r="K16" s="571"/>
      <c r="L16" s="571"/>
      <c r="M16" s="584"/>
      <c r="N16" s="571"/>
      <c r="O16" s="571"/>
      <c r="P16" s="571"/>
      <c r="Q16" s="571"/>
      <c r="R16" s="571"/>
      <c r="S16" s="144"/>
    </row>
    <row r="17" spans="1:13" x14ac:dyDescent="0.35">
      <c r="A17" s="336"/>
      <c r="B17" s="336"/>
      <c r="C17" s="336"/>
      <c r="D17" s="336"/>
      <c r="E17" s="336"/>
      <c r="F17" s="336"/>
      <c r="G17" s="336"/>
      <c r="H17" s="336"/>
      <c r="I17" s="336"/>
      <c r="J17" s="336"/>
      <c r="K17" s="336"/>
      <c r="L17" s="336"/>
      <c r="M17" s="336"/>
    </row>
  </sheetData>
  <sheetProtection algorithmName="SHA-512" hashValue="ct3wzGpHlFqtkLmUTdrMr7mr72/9f9RMAhtLCJHiXdazCMKH4NMlLFP86PVm1JDSkWTRvFPnPFMtzTs4Cg8QkQ==" saltValue="5g1NqV7Jp9R9Bjjm3mfPug==" spinCount="100000" sheet="1" objects="1" scenarios="1"/>
  <protectedRanges>
    <protectedRange algorithmName="SHA-512" hashValue="sPL4cO7vvDRJ3yrXKrbqUhOyisC1EpWfbjTCScA7bqGiXVRpBGlBXnEb5lm9a4IeOR8mtF2dLyXQvP3bVM8WzA==" saltValue="UlSDQOZ0GNuQtvr47opk4Q==" spinCount="100000" sqref="H9 H11" name="Net Price"/>
  </protectedRanges>
  <pageMargins left="0.70866141732283472" right="0.70866141732283472" top="0.74803149606299213" bottom="0.74803149606299213" header="0.31496062992125984" footer="0.31496062992125984"/>
  <pageSetup scale="81" orientation="landscape" horizontalDpi="4294967293" verticalDpi="4294967293" r:id="rId1"/>
  <headerFooter>
    <oddHeader>&amp;L&amp;A&amp;R&amp;N</oddHeader>
    <oddFooter>&amp;R&amp;Z&amp;F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5"/>
  <sheetViews>
    <sheetView zoomScale="80" zoomScaleNormal="80" workbookViewId="0">
      <pane xSplit="7" ySplit="3" topLeftCell="H4" activePane="bottomRight" state="frozen"/>
      <selection pane="topRight" activeCell="H1" sqref="H1"/>
      <selection pane="bottomLeft" activeCell="A4" sqref="A4"/>
      <selection pane="bottomRight" activeCell="G6" sqref="G6"/>
    </sheetView>
  </sheetViews>
  <sheetFormatPr defaultColWidth="9.1796875" defaultRowHeight="15.5" outlineLevelRow="1" x14ac:dyDescent="0.35"/>
  <cols>
    <col min="1" max="1" width="3.453125" style="222" customWidth="1"/>
    <col min="2" max="2" width="22.7265625" style="222" customWidth="1"/>
    <col min="3" max="3" width="25.7265625" style="222" customWidth="1"/>
    <col min="4" max="4" width="10.54296875" style="222" bestFit="1" customWidth="1"/>
    <col min="5" max="5" width="11.54296875" style="222" customWidth="1"/>
    <col min="6" max="6" width="13" style="222" customWidth="1"/>
    <col min="7" max="7" width="12.26953125" style="223" customWidth="1"/>
    <col min="8" max="8" width="13.7265625" style="222" bestFit="1" customWidth="1"/>
    <col min="9" max="9" width="12.7265625" style="222" customWidth="1"/>
    <col min="10" max="10" width="12.453125" style="222" bestFit="1" customWidth="1"/>
    <col min="11" max="12" width="9.1796875" style="222"/>
    <col min="13" max="13" width="9.453125" style="222" customWidth="1"/>
    <col min="14" max="14" width="8.7265625" style="222" customWidth="1"/>
    <col min="15" max="16384" width="9.1796875" style="222"/>
  </cols>
  <sheetData>
    <row r="1" spans="1:13" x14ac:dyDescent="0.35">
      <c r="A1" s="620" t="s">
        <v>222</v>
      </c>
      <c r="B1" s="621"/>
      <c r="C1" s="621"/>
      <c r="D1" s="621"/>
      <c r="E1" s="621"/>
      <c r="F1" s="621"/>
      <c r="G1" s="622"/>
      <c r="I1"/>
    </row>
    <row r="2" spans="1:13" x14ac:dyDescent="0.35">
      <c r="A2" s="623" t="s">
        <v>212</v>
      </c>
      <c r="B2" s="624"/>
      <c r="C2" s="624"/>
      <c r="D2" s="624"/>
      <c r="E2" s="624"/>
      <c r="F2" s="624"/>
      <c r="G2" s="625"/>
    </row>
    <row r="3" spans="1:13" x14ac:dyDescent="0.35">
      <c r="A3" s="626"/>
      <c r="B3" s="627"/>
      <c r="C3" s="244" t="s">
        <v>310</v>
      </c>
      <c r="D3" s="230" t="s">
        <v>216</v>
      </c>
      <c r="E3" s="231" t="s">
        <v>1</v>
      </c>
      <c r="F3" s="232" t="s">
        <v>177</v>
      </c>
      <c r="G3" s="234" t="s">
        <v>213</v>
      </c>
      <c r="H3" s="252"/>
    </row>
    <row r="4" spans="1:13" x14ac:dyDescent="0.35">
      <c r="A4" s="224" t="s">
        <v>214</v>
      </c>
      <c r="B4" s="225"/>
      <c r="C4" s="226"/>
      <c r="D4" s="227"/>
      <c r="E4" s="228" t="s">
        <v>215</v>
      </c>
      <c r="F4" s="229">
        <v>12</v>
      </c>
      <c r="G4" s="256">
        <f>F4</f>
        <v>12</v>
      </c>
      <c r="H4" s="251"/>
    </row>
    <row r="5" spans="1:13" x14ac:dyDescent="0.35">
      <c r="A5" s="224" t="s">
        <v>308</v>
      </c>
      <c r="B5" s="225"/>
      <c r="C5" s="226"/>
      <c r="D5" s="341"/>
      <c r="E5" s="228"/>
      <c r="F5" s="228" t="s">
        <v>307</v>
      </c>
      <c r="G5" s="256" t="s">
        <v>307</v>
      </c>
      <c r="H5" s="251"/>
    </row>
    <row r="6" spans="1:13" x14ac:dyDescent="0.35">
      <c r="A6" s="224" t="s">
        <v>223</v>
      </c>
      <c r="B6" s="225"/>
      <c r="C6" s="255">
        <v>2178</v>
      </c>
      <c r="D6" s="340">
        <v>1</v>
      </c>
      <c r="E6" s="244" t="s">
        <v>217</v>
      </c>
      <c r="F6" s="279">
        <v>2178</v>
      </c>
      <c r="G6" s="280">
        <f>F6</f>
        <v>2178</v>
      </c>
      <c r="H6" s="253"/>
    </row>
    <row r="7" spans="1:13" x14ac:dyDescent="0.35">
      <c r="A7" s="224" t="s">
        <v>309</v>
      </c>
      <c r="B7" s="225"/>
      <c r="C7" s="10"/>
      <c r="D7" s="249">
        <v>1</v>
      </c>
      <c r="E7" s="244" t="s">
        <v>286</v>
      </c>
      <c r="F7" s="229">
        <v>16</v>
      </c>
      <c r="G7" s="256">
        <f>F7</f>
        <v>16</v>
      </c>
    </row>
    <row r="8" spans="1:13" x14ac:dyDescent="0.35">
      <c r="A8" s="224" t="s">
        <v>224</v>
      </c>
      <c r="B8" s="225"/>
      <c r="C8" s="10"/>
      <c r="D8" s="249">
        <v>1</v>
      </c>
      <c r="E8" s="244" t="s">
        <v>217</v>
      </c>
      <c r="F8" s="248">
        <f>F7*F6</f>
        <v>34848</v>
      </c>
      <c r="G8" s="339">
        <f>G7*G6</f>
        <v>34848</v>
      </c>
    </row>
    <row r="9" spans="1:13" x14ac:dyDescent="0.35">
      <c r="A9" s="224" t="s">
        <v>252</v>
      </c>
      <c r="B9" s="225"/>
      <c r="C9" s="10"/>
      <c r="D9" s="249">
        <v>1</v>
      </c>
      <c r="E9" s="244" t="s">
        <v>217</v>
      </c>
      <c r="F9" s="353">
        <f>ROUNDUP(F8/800,0)</f>
        <v>44</v>
      </c>
      <c r="G9" s="354">
        <f>ROUNDUP(G8/800,0)</f>
        <v>44</v>
      </c>
    </row>
    <row r="10" spans="1:13" x14ac:dyDescent="0.35">
      <c r="A10" s="201" t="s">
        <v>225</v>
      </c>
      <c r="C10" s="235" t="s">
        <v>227</v>
      </c>
      <c r="D10" s="352">
        <v>1</v>
      </c>
      <c r="E10" s="236" t="s">
        <v>217</v>
      </c>
      <c r="F10" s="247">
        <v>0.9</v>
      </c>
      <c r="G10" s="250">
        <f>F10</f>
        <v>0.9</v>
      </c>
    </row>
    <row r="11" spans="1:13" x14ac:dyDescent="0.35">
      <c r="A11" s="224" t="s">
        <v>226</v>
      </c>
      <c r="B11" s="225"/>
      <c r="C11" s="239" t="s">
        <v>227</v>
      </c>
      <c r="D11" s="249">
        <v>1</v>
      </c>
      <c r="E11" s="244" t="s">
        <v>217</v>
      </c>
      <c r="F11" s="616">
        <f>F10*F8</f>
        <v>31363.200000000001</v>
      </c>
      <c r="G11" s="339">
        <f>G10*G8</f>
        <v>31363.200000000001</v>
      </c>
    </row>
    <row r="12" spans="1:13" x14ac:dyDescent="0.35">
      <c r="A12" s="224" t="s">
        <v>218</v>
      </c>
      <c r="B12" s="343"/>
      <c r="C12" s="239" t="s">
        <v>230</v>
      </c>
      <c r="D12" s="249">
        <v>1</v>
      </c>
      <c r="E12" s="338" t="s">
        <v>80</v>
      </c>
      <c r="F12" s="344">
        <v>0.38</v>
      </c>
      <c r="G12" s="345">
        <f>F12</f>
        <v>0.38</v>
      </c>
    </row>
    <row r="13" spans="1:13" x14ac:dyDescent="0.35">
      <c r="A13" s="224" t="s">
        <v>39</v>
      </c>
      <c r="B13" s="343"/>
      <c r="C13" s="225" t="s">
        <v>20</v>
      </c>
      <c r="D13" s="249">
        <v>1</v>
      </c>
      <c r="E13" s="340" t="s">
        <v>217</v>
      </c>
      <c r="F13" s="346">
        <f>F12*F11</f>
        <v>11918.016</v>
      </c>
      <c r="G13" s="346">
        <f>G12*G11</f>
        <v>11918.016</v>
      </c>
      <c r="H13" s="322"/>
    </row>
    <row r="14" spans="1:13" x14ac:dyDescent="0.35">
      <c r="A14" s="224" t="s">
        <v>219</v>
      </c>
      <c r="B14" s="343"/>
      <c r="C14" s="391" t="s">
        <v>245</v>
      </c>
      <c r="D14" s="249">
        <v>1</v>
      </c>
      <c r="E14" s="340" t="s">
        <v>217</v>
      </c>
      <c r="F14" s="392">
        <f>'Fert &amp; Micro Nutrients Table'!I18</f>
        <v>83.104000000000013</v>
      </c>
      <c r="G14" s="375">
        <f t="shared" ref="G14:G21" si="0">F14</f>
        <v>83.104000000000013</v>
      </c>
      <c r="H14" s="322"/>
      <c r="I14" s="322"/>
      <c r="J14" s="323"/>
    </row>
    <row r="15" spans="1:13" x14ac:dyDescent="0.35">
      <c r="A15" s="224" t="s">
        <v>219</v>
      </c>
      <c r="B15" s="343"/>
      <c r="C15" s="391" t="s">
        <v>238</v>
      </c>
      <c r="D15" s="249">
        <v>1</v>
      </c>
      <c r="E15" s="340" t="s">
        <v>217</v>
      </c>
      <c r="F15" s="392">
        <f>'Fert &amp; Micro Nutrients Table'!I24</f>
        <v>26.4</v>
      </c>
      <c r="G15" s="375">
        <f t="shared" si="0"/>
        <v>26.4</v>
      </c>
      <c r="H15" s="322"/>
      <c r="I15" s="322"/>
      <c r="J15" s="323"/>
      <c r="K15" s="347"/>
    </row>
    <row r="16" spans="1:13" ht="18.5" x14ac:dyDescent="0.35">
      <c r="A16" s="224" t="s">
        <v>219</v>
      </c>
      <c r="B16" s="343"/>
      <c r="C16" s="391" t="s">
        <v>239</v>
      </c>
      <c r="D16" s="249">
        <v>1</v>
      </c>
      <c r="E16" s="340" t="s">
        <v>217</v>
      </c>
      <c r="F16" s="392">
        <f>'Fert &amp; Micro Nutrients Table'!I30</f>
        <v>71.771999999999991</v>
      </c>
      <c r="G16" s="375">
        <f t="shared" si="0"/>
        <v>71.771999999999991</v>
      </c>
      <c r="H16" s="322"/>
      <c r="I16" s="322"/>
      <c r="J16" s="323"/>
      <c r="K16" s="348"/>
      <c r="M16" s="254"/>
    </row>
    <row r="17" spans="1:11" x14ac:dyDescent="0.35">
      <c r="A17" s="224" t="s">
        <v>220</v>
      </c>
      <c r="B17" s="343"/>
      <c r="C17" s="391" t="s">
        <v>165</v>
      </c>
      <c r="D17" s="249">
        <v>1</v>
      </c>
      <c r="E17" s="340" t="s">
        <v>217</v>
      </c>
      <c r="F17" s="392">
        <f>'Chem Data Table'!I32</f>
        <v>257.01700000000005</v>
      </c>
      <c r="G17" s="375">
        <f t="shared" si="0"/>
        <v>257.01700000000005</v>
      </c>
      <c r="H17" s="322"/>
      <c r="I17" s="322"/>
      <c r="J17" s="323"/>
    </row>
    <row r="18" spans="1:11" x14ac:dyDescent="0.35">
      <c r="A18" s="224" t="s">
        <v>220</v>
      </c>
      <c r="B18" s="343"/>
      <c r="C18" s="391" t="s">
        <v>231</v>
      </c>
      <c r="D18" s="249">
        <v>1</v>
      </c>
      <c r="E18" s="340" t="s">
        <v>217</v>
      </c>
      <c r="F18" s="392">
        <f>'Chem Data Table'!I37</f>
        <v>149.07550000000001</v>
      </c>
      <c r="G18" s="375">
        <f t="shared" si="0"/>
        <v>149.07550000000001</v>
      </c>
      <c r="H18" s="322"/>
    </row>
    <row r="19" spans="1:11" x14ac:dyDescent="0.35">
      <c r="A19" s="224" t="s">
        <v>220</v>
      </c>
      <c r="B19" s="343"/>
      <c r="C19" s="391" t="s">
        <v>163</v>
      </c>
      <c r="D19" s="249">
        <v>1</v>
      </c>
      <c r="E19" s="340" t="s">
        <v>217</v>
      </c>
      <c r="F19" s="392">
        <f>'Chem Data Table'!I44</f>
        <v>242.238608</v>
      </c>
      <c r="G19" s="375">
        <f t="shared" si="0"/>
        <v>242.238608</v>
      </c>
      <c r="H19" s="322"/>
    </row>
    <row r="20" spans="1:11" x14ac:dyDescent="0.35">
      <c r="A20" s="224" t="s">
        <v>220</v>
      </c>
      <c r="B20" s="343"/>
      <c r="C20" s="391" t="s">
        <v>233</v>
      </c>
      <c r="D20" s="249">
        <v>1</v>
      </c>
      <c r="E20" s="340" t="s">
        <v>217</v>
      </c>
      <c r="F20" s="392">
        <f>'Chem Data Table'!I50</f>
        <v>482.18015000000003</v>
      </c>
      <c r="G20" s="375">
        <f t="shared" si="0"/>
        <v>482.18015000000003</v>
      </c>
      <c r="H20" s="322"/>
    </row>
    <row r="21" spans="1:11" x14ac:dyDescent="0.35">
      <c r="A21" s="224" t="s">
        <v>220</v>
      </c>
      <c r="B21" s="343"/>
      <c r="C21" s="391" t="s">
        <v>232</v>
      </c>
      <c r="D21" s="249">
        <v>1</v>
      </c>
      <c r="E21" s="340" t="s">
        <v>217</v>
      </c>
      <c r="F21" s="392">
        <f>'Chem Data Table'!I53</f>
        <v>15.6</v>
      </c>
      <c r="G21" s="375">
        <f t="shared" si="0"/>
        <v>15.6</v>
      </c>
      <c r="H21" s="322"/>
    </row>
    <row r="22" spans="1:11" x14ac:dyDescent="0.35">
      <c r="A22" s="305" t="s">
        <v>299</v>
      </c>
      <c r="B22" s="143"/>
      <c r="C22" s="305" t="s">
        <v>322</v>
      </c>
      <c r="D22" s="240">
        <v>1</v>
      </c>
      <c r="E22" s="286" t="s">
        <v>221</v>
      </c>
      <c r="F22" s="350">
        <f>'Operation Sched'!I3</f>
        <v>15.8</v>
      </c>
      <c r="G22" s="590">
        <v>15.8</v>
      </c>
      <c r="H22" s="322"/>
    </row>
    <row r="23" spans="1:11" x14ac:dyDescent="0.35">
      <c r="A23" s="305" t="s">
        <v>299</v>
      </c>
      <c r="B23" s="143"/>
      <c r="C23" s="305" t="s">
        <v>325</v>
      </c>
      <c r="D23" s="240" t="s">
        <v>284</v>
      </c>
      <c r="E23" s="286" t="s">
        <v>217</v>
      </c>
      <c r="F23" s="463">
        <f>'Operation Sched'!J22</f>
        <v>17.05</v>
      </c>
      <c r="G23" s="591">
        <f>F23</f>
        <v>17.05</v>
      </c>
      <c r="H23" s="322"/>
    </row>
    <row r="24" spans="1:11" x14ac:dyDescent="0.35">
      <c r="A24" s="201" t="s">
        <v>323</v>
      </c>
      <c r="B24" s="143"/>
      <c r="C24" s="305" t="s">
        <v>324</v>
      </c>
      <c r="D24" s="240">
        <v>1</v>
      </c>
      <c r="E24" s="286" t="s">
        <v>217</v>
      </c>
      <c r="F24" s="464">
        <f>'Operation Sched'!J24</f>
        <v>269.39000000000004</v>
      </c>
      <c r="G24" s="468">
        <f>F24</f>
        <v>269.39000000000004</v>
      </c>
    </row>
    <row r="25" spans="1:11" outlineLevel="1" x14ac:dyDescent="0.35">
      <c r="A25" s="380" t="s">
        <v>300</v>
      </c>
      <c r="B25" s="381"/>
      <c r="C25" s="382"/>
      <c r="D25" s="383"/>
      <c r="E25" s="384"/>
      <c r="F25" s="385"/>
      <c r="G25" s="386">
        <f>IF(AND(G22&gt;0,G23&gt;0,G24=F24),G22*G23,IF(AND(G22&gt;0,G23&gt;0,G24&lt;&gt;F24),G24,IF(AND(G22*G23=0),G24,0)))</f>
        <v>269.39000000000004</v>
      </c>
      <c r="H25" s="322"/>
      <c r="I25" s="322"/>
      <c r="J25" s="323"/>
      <c r="K25" s="347"/>
    </row>
    <row r="26" spans="1:11" x14ac:dyDescent="0.35">
      <c r="A26" s="233" t="s">
        <v>276</v>
      </c>
      <c r="B26" s="290"/>
      <c r="C26" s="257" t="s">
        <v>248</v>
      </c>
      <c r="D26" s="300">
        <v>1</v>
      </c>
      <c r="E26" s="241" t="s">
        <v>221</v>
      </c>
      <c r="F26" s="351">
        <f>'Operation Sched'!K3</f>
        <v>15.8</v>
      </c>
      <c r="G26" s="258">
        <f>F26</f>
        <v>15.8</v>
      </c>
      <c r="H26" s="322"/>
    </row>
    <row r="27" spans="1:11" x14ac:dyDescent="0.35">
      <c r="A27" s="201" t="s">
        <v>285</v>
      </c>
      <c r="B27" s="143"/>
      <c r="C27" s="305" t="s">
        <v>248</v>
      </c>
      <c r="D27" s="240" t="s">
        <v>284</v>
      </c>
      <c r="E27" s="286" t="s">
        <v>217</v>
      </c>
      <c r="F27" s="310">
        <f>'Operation Sched'!L22</f>
        <v>2</v>
      </c>
      <c r="G27" s="309">
        <f>F27</f>
        <v>2</v>
      </c>
    </row>
    <row r="28" spans="1:11" x14ac:dyDescent="0.35">
      <c r="A28" s="237" t="s">
        <v>249</v>
      </c>
      <c r="B28" s="284"/>
      <c r="C28" s="355" t="s">
        <v>248</v>
      </c>
      <c r="D28" s="299">
        <v>1</v>
      </c>
      <c r="E28" s="292" t="s">
        <v>217</v>
      </c>
      <c r="F28" s="372">
        <f>'Operation Sched'!L24</f>
        <v>31.6</v>
      </c>
      <c r="G28" s="261">
        <f>F28</f>
        <v>31.6</v>
      </c>
    </row>
    <row r="29" spans="1:11" outlineLevel="1" x14ac:dyDescent="0.35">
      <c r="A29" s="314" t="s">
        <v>291</v>
      </c>
      <c r="B29" s="315"/>
      <c r="C29" s="316"/>
      <c r="D29" s="317"/>
      <c r="E29" s="318"/>
      <c r="F29" s="319"/>
      <c r="G29" s="320">
        <f>IF(AND(G26&gt;0,G27&gt;0,G28=F28),G26*G27,IF(AND(G26&gt;0,G27&gt;0,G28&lt;&gt;F28),G28,IF(AND(G26*G27=0),G28,0)))</f>
        <v>31.6</v>
      </c>
    </row>
    <row r="30" spans="1:11" x14ac:dyDescent="0.35">
      <c r="A30" s="233" t="s">
        <v>207</v>
      </c>
      <c r="B30" s="233"/>
      <c r="C30" s="257" t="s">
        <v>322</v>
      </c>
      <c r="D30" s="300" t="s">
        <v>343</v>
      </c>
      <c r="E30" s="241" t="s">
        <v>221</v>
      </c>
      <c r="F30" s="465">
        <f>'Operation Sched'!M3</f>
        <v>15.8</v>
      </c>
      <c r="G30" s="592">
        <f>F30</f>
        <v>15.8</v>
      </c>
    </row>
    <row r="31" spans="1:11" x14ac:dyDescent="0.35">
      <c r="A31" s="201" t="s">
        <v>207</v>
      </c>
      <c r="B31" s="143"/>
      <c r="C31" s="305" t="s">
        <v>287</v>
      </c>
      <c r="D31" s="240" t="s">
        <v>283</v>
      </c>
      <c r="E31" s="286" t="s">
        <v>286</v>
      </c>
      <c r="F31" s="310">
        <f>'Operation Sched'!N26</f>
        <v>2</v>
      </c>
      <c r="G31" s="309">
        <f>F31</f>
        <v>2</v>
      </c>
    </row>
    <row r="32" spans="1:11" x14ac:dyDescent="0.35">
      <c r="A32" s="201" t="s">
        <v>207</v>
      </c>
      <c r="B32" s="143"/>
      <c r="C32" s="14" t="s">
        <v>287</v>
      </c>
      <c r="D32" s="240" t="s">
        <v>312</v>
      </c>
      <c r="E32" s="286" t="s">
        <v>217</v>
      </c>
      <c r="F32" s="310">
        <f>'Operation Sched'!N22</f>
        <v>72.599999999999994</v>
      </c>
      <c r="G32" s="310">
        <f>($G6*$G31)/60</f>
        <v>72.599999999999994</v>
      </c>
    </row>
    <row r="33" spans="1:18" x14ac:dyDescent="0.35">
      <c r="A33" s="237" t="s">
        <v>321</v>
      </c>
      <c r="B33" s="284"/>
      <c r="C33" s="355" t="s">
        <v>287</v>
      </c>
      <c r="D33" s="299">
        <v>1</v>
      </c>
      <c r="E33" s="292" t="s">
        <v>217</v>
      </c>
      <c r="F33" s="311">
        <f>'Operation Sched'!N24</f>
        <v>1147.08</v>
      </c>
      <c r="G33" s="376">
        <f>F33</f>
        <v>1147.08</v>
      </c>
      <c r="H33" s="312"/>
      <c r="I33" s="312"/>
    </row>
    <row r="34" spans="1:18" outlineLevel="1" x14ac:dyDescent="0.35">
      <c r="A34" s="314" t="s">
        <v>315</v>
      </c>
      <c r="B34" s="315"/>
      <c r="C34" s="316"/>
      <c r="D34" s="317"/>
      <c r="E34" s="318"/>
      <c r="F34" s="319"/>
      <c r="G34" s="324">
        <f>IF(AND(G30&gt;0,G31&gt;0,G33=F33),G30*G32,IF(AND(G30&gt;0,G31&gt;0,G33&lt;&gt;F33),G33,IF(AND(G30*G334=0),G33,0)))</f>
        <v>1147.08</v>
      </c>
      <c r="H34" s="358"/>
    </row>
    <row r="35" spans="1:18" x14ac:dyDescent="0.35">
      <c r="A35" s="201" t="s">
        <v>206</v>
      </c>
      <c r="B35" s="143"/>
      <c r="C35" s="14" t="s">
        <v>206</v>
      </c>
      <c r="D35" s="240" t="s">
        <v>343</v>
      </c>
      <c r="E35" s="286" t="s">
        <v>221</v>
      </c>
      <c r="F35" s="310">
        <f>'Operation Sched'!O3</f>
        <v>15.8</v>
      </c>
      <c r="G35" s="308">
        <f>F35</f>
        <v>15.8</v>
      </c>
    </row>
    <row r="36" spans="1:18" x14ac:dyDescent="0.35">
      <c r="A36" s="201" t="s">
        <v>206</v>
      </c>
      <c r="B36" s="143"/>
      <c r="C36" s="14" t="s">
        <v>206</v>
      </c>
      <c r="D36" s="240" t="s">
        <v>284</v>
      </c>
      <c r="E36" s="286" t="s">
        <v>217</v>
      </c>
      <c r="F36" s="310">
        <f>'Operation Sched'!P22</f>
        <v>45</v>
      </c>
      <c r="G36" s="308">
        <f>F36</f>
        <v>45</v>
      </c>
    </row>
    <row r="37" spans="1:18" x14ac:dyDescent="0.35">
      <c r="A37" s="237" t="s">
        <v>250</v>
      </c>
      <c r="B37" s="284"/>
      <c r="C37" s="355" t="s">
        <v>206</v>
      </c>
      <c r="D37" s="299">
        <v>1</v>
      </c>
      <c r="E37" s="292" t="s">
        <v>217</v>
      </c>
      <c r="F37" s="372">
        <f>'Operation Sched'!P24</f>
        <v>711</v>
      </c>
      <c r="G37" s="261">
        <f>F37</f>
        <v>711</v>
      </c>
    </row>
    <row r="38" spans="1:18" x14ac:dyDescent="0.35">
      <c r="A38" s="330" t="s">
        <v>316</v>
      </c>
      <c r="B38" s="331"/>
      <c r="C38" s="332"/>
      <c r="D38" s="333"/>
      <c r="E38" s="334"/>
      <c r="F38" s="335"/>
      <c r="G38" s="349">
        <f>IF(AND(G35&gt;0,G36&gt;0,G37=F37),G35*G36,IF(AND(G35&gt;0,G36&gt;0,G37&lt;&gt;F37),G37,IF(AND(G35*G36=0),G37,0)))</f>
        <v>711</v>
      </c>
    </row>
    <row r="39" spans="1:18" hidden="1" outlineLevel="1" x14ac:dyDescent="0.35">
      <c r="A39" s="201" t="s">
        <v>302</v>
      </c>
      <c r="B39" s="143"/>
      <c r="C39" s="14" t="s">
        <v>318</v>
      </c>
      <c r="D39" s="240" t="s">
        <v>319</v>
      </c>
      <c r="E39" s="286">
        <v>1</v>
      </c>
      <c r="F39" s="371">
        <v>1.2090000000000001</v>
      </c>
      <c r="G39" s="371">
        <f>F39</f>
        <v>1.2090000000000001</v>
      </c>
    </row>
    <row r="40" spans="1:18" collapsed="1" x14ac:dyDescent="0.35">
      <c r="A40" s="224" t="s">
        <v>302</v>
      </c>
      <c r="B40" s="225"/>
      <c r="C40" s="23"/>
      <c r="D40" s="338">
        <v>1</v>
      </c>
      <c r="E40" s="373" t="s">
        <v>217</v>
      </c>
      <c r="F40" s="374">
        <f>'Operation Sched'!AI22</f>
        <v>456.77215049099351</v>
      </c>
      <c r="G40" s="375">
        <f>F40</f>
        <v>456.77215049099351</v>
      </c>
    </row>
    <row r="41" spans="1:18" x14ac:dyDescent="0.35">
      <c r="A41" s="233" t="s">
        <v>320</v>
      </c>
      <c r="B41" s="290"/>
      <c r="C41" s="327" t="s">
        <v>290</v>
      </c>
      <c r="D41" s="300" t="s">
        <v>343</v>
      </c>
      <c r="E41" s="328" t="s">
        <v>289</v>
      </c>
      <c r="F41" s="329">
        <f>'Operation Sched'!R26</f>
        <v>23.33</v>
      </c>
      <c r="G41" s="258">
        <v>23.33</v>
      </c>
      <c r="O41" s="223"/>
    </row>
    <row r="42" spans="1:18" x14ac:dyDescent="0.35">
      <c r="A42" s="201" t="s">
        <v>320</v>
      </c>
      <c r="B42" s="143"/>
      <c r="C42" s="305" t="s">
        <v>252</v>
      </c>
      <c r="D42" s="240" t="s">
        <v>252</v>
      </c>
      <c r="E42" s="286" t="s">
        <v>217</v>
      </c>
      <c r="F42" s="326">
        <f>F$9</f>
        <v>44</v>
      </c>
      <c r="G42" s="325">
        <f>G$9</f>
        <v>44</v>
      </c>
      <c r="M42" s="223"/>
      <c r="N42" s="223"/>
      <c r="O42" s="223"/>
      <c r="P42" s="223"/>
      <c r="Q42" s="223"/>
    </row>
    <row r="43" spans="1:18" x14ac:dyDescent="0.35">
      <c r="A43" s="237" t="s">
        <v>288</v>
      </c>
      <c r="B43" s="284"/>
      <c r="C43" s="469" t="s">
        <v>267</v>
      </c>
      <c r="D43" s="299">
        <v>1</v>
      </c>
      <c r="E43" s="292" t="s">
        <v>217</v>
      </c>
      <c r="F43" s="377">
        <f>'Operation Sched'!R24</f>
        <v>1026.52</v>
      </c>
      <c r="G43" s="378">
        <f>F43</f>
        <v>1026.52</v>
      </c>
      <c r="L43" s="223"/>
      <c r="M43" s="387"/>
      <c r="N43" s="387"/>
      <c r="O43" s="387"/>
      <c r="P43" s="387"/>
      <c r="Q43" s="387"/>
      <c r="R43" s="387"/>
    </row>
    <row r="44" spans="1:18" outlineLevel="1" x14ac:dyDescent="0.35">
      <c r="A44" s="314" t="s">
        <v>292</v>
      </c>
      <c r="B44" s="315"/>
      <c r="C44" s="316"/>
      <c r="D44" s="317"/>
      <c r="E44" s="318"/>
      <c r="F44" s="319"/>
      <c r="G44" s="359">
        <f>IF(AND(G41&gt;0,G42&gt;0,G43=F43),G41*G42,IF(AND(G41&gt;0,G42&gt;0,G43&lt;&gt;F43),G43,IF(AND(G41*G42=0),0,G43)))</f>
        <v>1026.52</v>
      </c>
      <c r="H44" s="322"/>
      <c r="L44" s="387"/>
      <c r="M44" s="388"/>
      <c r="N44" s="389"/>
      <c r="O44" s="322"/>
      <c r="P44" s="223"/>
      <c r="Q44" s="223"/>
    </row>
    <row r="45" spans="1:18" x14ac:dyDescent="0.35">
      <c r="A45" s="233" t="s">
        <v>266</v>
      </c>
      <c r="B45" s="290"/>
      <c r="C45" s="327" t="s">
        <v>278</v>
      </c>
      <c r="D45" s="300">
        <v>1</v>
      </c>
      <c r="E45" s="328" t="s">
        <v>289</v>
      </c>
      <c r="F45" s="379">
        <f>'Operation Sched'!H25</f>
        <v>2.4</v>
      </c>
      <c r="G45" s="258">
        <f>F45</f>
        <v>2.4</v>
      </c>
    </row>
    <row r="46" spans="1:18" x14ac:dyDescent="0.35">
      <c r="A46" s="201" t="s">
        <v>266</v>
      </c>
      <c r="B46" s="143"/>
      <c r="C46" s="305" t="s">
        <v>279</v>
      </c>
      <c r="D46" s="240">
        <v>1</v>
      </c>
      <c r="E46" s="286" t="s">
        <v>289</v>
      </c>
      <c r="F46" s="291">
        <f>'Operation Sched'!H26</f>
        <v>5.22</v>
      </c>
      <c r="G46" s="259">
        <f>F46</f>
        <v>5.22</v>
      </c>
      <c r="H46" s="322"/>
      <c r="L46" s="322"/>
      <c r="N46" s="322"/>
    </row>
    <row r="47" spans="1:18" x14ac:dyDescent="0.35">
      <c r="A47" s="201" t="s">
        <v>266</v>
      </c>
      <c r="B47" s="143"/>
      <c r="C47" s="305" t="s">
        <v>252</v>
      </c>
      <c r="D47" s="240" t="s">
        <v>252</v>
      </c>
      <c r="E47" s="286" t="s">
        <v>217</v>
      </c>
      <c r="F47" s="326">
        <f>'Operation Sched'!H27</f>
        <v>44</v>
      </c>
      <c r="G47" s="325">
        <f>G$9</f>
        <v>44</v>
      </c>
      <c r="H47" s="322"/>
      <c r="M47" s="322"/>
      <c r="N47" s="322"/>
    </row>
    <row r="48" spans="1:18" x14ac:dyDescent="0.35">
      <c r="A48" s="237" t="s">
        <v>266</v>
      </c>
      <c r="B48" s="284"/>
      <c r="C48" s="355" t="s">
        <v>294</v>
      </c>
      <c r="D48" s="299">
        <v>1</v>
      </c>
      <c r="E48" s="292" t="s">
        <v>217</v>
      </c>
      <c r="F48" s="377">
        <f>'Operation Sched'!H16</f>
        <v>335.28</v>
      </c>
      <c r="G48" s="377">
        <f>F48</f>
        <v>335.28</v>
      </c>
      <c r="H48" s="322"/>
      <c r="N48" s="322"/>
    </row>
    <row r="49" spans="1:17" outlineLevel="1" x14ac:dyDescent="0.35">
      <c r="A49" s="314" t="s">
        <v>293</v>
      </c>
      <c r="B49" s="315"/>
      <c r="C49" s="316"/>
      <c r="D49" s="317"/>
      <c r="E49" s="318"/>
      <c r="F49" s="319"/>
      <c r="G49" s="390">
        <f>IF(AND(G45&gt;0,G46&gt;0,G48=F48),(G45+G46)*G47,IF(AND(G45&gt;0,G46&gt;0,G48&lt;&gt;F48),G48,IF(AND(G45+G46&lt;&gt;G48),G48,IF(AND(G45*G350=0),G48,0))))</f>
        <v>335.28</v>
      </c>
      <c r="H49" s="322"/>
      <c r="M49" s="223"/>
      <c r="N49" s="389"/>
      <c r="O49" s="389"/>
      <c r="P49" s="389"/>
    </row>
    <row r="50" spans="1:17" outlineLevel="1" x14ac:dyDescent="0.35">
      <c r="A50" s="233" t="s">
        <v>266</v>
      </c>
      <c r="B50" s="290"/>
      <c r="C50" s="327" t="s">
        <v>326</v>
      </c>
      <c r="D50" s="300">
        <v>1</v>
      </c>
      <c r="E50" s="328" t="s">
        <v>221</v>
      </c>
      <c r="F50" s="467">
        <f>'Operation Sched'!S3</f>
        <v>15.8</v>
      </c>
      <c r="G50" s="393">
        <f>F50</f>
        <v>15.8</v>
      </c>
      <c r="H50" s="322"/>
      <c r="N50" s="223"/>
      <c r="O50" s="322"/>
      <c r="P50" s="322"/>
    </row>
    <row r="51" spans="1:17" x14ac:dyDescent="0.35">
      <c r="A51" s="201" t="s">
        <v>266</v>
      </c>
      <c r="B51" s="143"/>
      <c r="C51" s="305" t="s">
        <v>295</v>
      </c>
      <c r="D51" s="240" t="s">
        <v>296</v>
      </c>
      <c r="E51" s="286" t="s">
        <v>289</v>
      </c>
      <c r="F51" s="291">
        <f>'Operation Sched'!T25</f>
        <v>6</v>
      </c>
      <c r="G51" s="593">
        <f>F51</f>
        <v>6</v>
      </c>
      <c r="H51" s="322"/>
      <c r="M51" s="387"/>
      <c r="N51" s="387"/>
      <c r="O51" s="387"/>
      <c r="P51" s="387"/>
    </row>
    <row r="52" spans="1:17" x14ac:dyDescent="0.35">
      <c r="A52" s="201" t="s">
        <v>266</v>
      </c>
      <c r="B52" s="143"/>
      <c r="C52" s="305" t="s">
        <v>295</v>
      </c>
      <c r="D52" s="240" t="s">
        <v>252</v>
      </c>
      <c r="E52" s="286" t="s">
        <v>217</v>
      </c>
      <c r="F52" s="326">
        <f>F9</f>
        <v>44</v>
      </c>
      <c r="G52" s="325">
        <f>G9</f>
        <v>44</v>
      </c>
      <c r="H52" s="322"/>
      <c r="M52" s="322"/>
      <c r="N52" s="322"/>
    </row>
    <row r="53" spans="1:17" x14ac:dyDescent="0.35">
      <c r="A53" s="237" t="s">
        <v>266</v>
      </c>
      <c r="B53" s="284"/>
      <c r="C53" s="355" t="s">
        <v>255</v>
      </c>
      <c r="D53" s="299">
        <v>1</v>
      </c>
      <c r="E53" s="292" t="s">
        <v>217</v>
      </c>
      <c r="F53" s="377">
        <f>'Operation Sched'!T24</f>
        <v>69.52000000000001</v>
      </c>
      <c r="G53" s="261">
        <f>F53</f>
        <v>69.52000000000001</v>
      </c>
      <c r="H53" s="322"/>
      <c r="N53" s="322"/>
    </row>
    <row r="54" spans="1:17" outlineLevel="1" x14ac:dyDescent="0.35">
      <c r="A54" s="330" t="s">
        <v>298</v>
      </c>
      <c r="B54" s="331"/>
      <c r="C54" s="332"/>
      <c r="D54" s="333"/>
      <c r="E54" s="334"/>
      <c r="F54" s="335"/>
      <c r="G54" s="390">
        <f>IF(AND(G50&gt;0,G51&gt;0,G53=F53),(G51*G52)/60*G50,IF(AND(G50=0,G51&gt;0,G53=F53),0,IF(AND(G50&gt;0,G51=0,G53=F53),G53,IF(AND(G50=0,G51=0,G53=F53),G53,IF(AND(G53&lt;&gt;F53),G53,IF(AND(G53=0),0))))))</f>
        <v>69.52000000000001</v>
      </c>
      <c r="H54" s="322"/>
      <c r="N54" s="322"/>
      <c r="O54" s="322"/>
    </row>
    <row r="55" spans="1:17" x14ac:dyDescent="0.35">
      <c r="A55" s="201" t="s">
        <v>281</v>
      </c>
      <c r="B55" s="290"/>
      <c r="C55" s="301" t="s">
        <v>156</v>
      </c>
      <c r="D55" s="234">
        <v>1</v>
      </c>
      <c r="E55" s="245" t="s">
        <v>217</v>
      </c>
      <c r="F55" s="242">
        <f>'Operation Sched'!H12</f>
        <v>256</v>
      </c>
      <c r="G55" s="297">
        <v>256</v>
      </c>
      <c r="H55" s="322"/>
      <c r="I55" s="322"/>
      <c r="P55" s="322"/>
    </row>
    <row r="56" spans="1:17" x14ac:dyDescent="0.35">
      <c r="A56" s="201" t="s">
        <v>281</v>
      </c>
      <c r="B56" s="143"/>
      <c r="C56" s="302" t="s">
        <v>282</v>
      </c>
      <c r="D56" s="236">
        <v>1</v>
      </c>
      <c r="E56" s="298" t="s">
        <v>217</v>
      </c>
      <c r="F56" s="243">
        <f>'Operation Sched'!H17</f>
        <v>85</v>
      </c>
      <c r="G56" s="295">
        <v>85</v>
      </c>
      <c r="H56" s="322"/>
      <c r="I56" s="322"/>
      <c r="Q56" s="322"/>
    </row>
    <row r="57" spans="1:17" x14ac:dyDescent="0.35">
      <c r="A57" s="201" t="s">
        <v>281</v>
      </c>
      <c r="B57" s="143"/>
      <c r="C57" s="14" t="s">
        <v>119</v>
      </c>
      <c r="D57" s="236">
        <v>1</v>
      </c>
      <c r="E57" s="298" t="s">
        <v>217</v>
      </c>
      <c r="F57" s="306">
        <f>'Operation Sched'!H18</f>
        <v>139</v>
      </c>
      <c r="G57" s="295">
        <v>139</v>
      </c>
    </row>
    <row r="58" spans="1:17" x14ac:dyDescent="0.35">
      <c r="A58" s="201" t="s">
        <v>281</v>
      </c>
      <c r="B58" s="143"/>
      <c r="C58" s="303" t="s">
        <v>123</v>
      </c>
      <c r="D58" s="236">
        <v>1</v>
      </c>
      <c r="E58" s="298" t="s">
        <v>217</v>
      </c>
      <c r="F58" s="243">
        <v>0</v>
      </c>
      <c r="G58" s="295">
        <v>0</v>
      </c>
      <c r="M58" s="313"/>
      <c r="N58" s="313"/>
    </row>
    <row r="59" spans="1:17" x14ac:dyDescent="0.35">
      <c r="A59" s="237" t="s">
        <v>281</v>
      </c>
      <c r="B59" s="284"/>
      <c r="C59" s="304" t="s">
        <v>120</v>
      </c>
      <c r="D59" s="238">
        <v>1</v>
      </c>
      <c r="E59" s="246" t="s">
        <v>217</v>
      </c>
      <c r="F59" s="307">
        <v>0</v>
      </c>
      <c r="G59" s="296">
        <v>0</v>
      </c>
      <c r="M59" s="313"/>
      <c r="N59" s="313"/>
    </row>
    <row r="60" spans="1:17" x14ac:dyDescent="0.35">
      <c r="A60" s="204" t="s">
        <v>401</v>
      </c>
      <c r="B60" s="143"/>
      <c r="C60" s="303"/>
      <c r="D60" s="236"/>
      <c r="E60" s="298"/>
      <c r="F60" s="243"/>
      <c r="G60" s="243"/>
      <c r="M60" s="313"/>
      <c r="N60" s="313"/>
    </row>
    <row r="61" spans="1:17" x14ac:dyDescent="0.35">
      <c r="A61" s="594" t="s">
        <v>389</v>
      </c>
      <c r="B61" s="595"/>
      <c r="C61" s="597" t="s">
        <v>391</v>
      </c>
      <c r="D61" s="234">
        <v>1</v>
      </c>
      <c r="E61" s="245" t="s">
        <v>217</v>
      </c>
      <c r="F61" s="242">
        <v>0</v>
      </c>
      <c r="G61" s="297">
        <v>0</v>
      </c>
    </row>
    <row r="62" spans="1:17" x14ac:dyDescent="0.35">
      <c r="A62" s="477" t="s">
        <v>389</v>
      </c>
      <c r="B62" s="202"/>
      <c r="C62" s="303" t="s">
        <v>392</v>
      </c>
      <c r="D62" s="236">
        <v>1</v>
      </c>
      <c r="E62" s="298" t="s">
        <v>217</v>
      </c>
      <c r="F62" s="243">
        <v>0</v>
      </c>
      <c r="G62" s="295">
        <v>0</v>
      </c>
    </row>
    <row r="63" spans="1:17" x14ac:dyDescent="0.35">
      <c r="A63" s="505" t="s">
        <v>389</v>
      </c>
      <c r="B63" s="596"/>
      <c r="C63" s="304" t="s">
        <v>406</v>
      </c>
      <c r="D63" s="238">
        <v>1</v>
      </c>
      <c r="E63" s="246" t="s">
        <v>217</v>
      </c>
      <c r="F63" s="307">
        <v>0</v>
      </c>
      <c r="G63" s="296">
        <v>0</v>
      </c>
    </row>
    <row r="64" spans="1:17" x14ac:dyDescent="0.35">
      <c r="A64" s="222" t="s">
        <v>402</v>
      </c>
      <c r="B64" s="222" t="s">
        <v>403</v>
      </c>
    </row>
    <row r="65" spans="1:2" x14ac:dyDescent="0.35">
      <c r="A65" s="222" t="s">
        <v>404</v>
      </c>
      <c r="B65" s="222" t="s">
        <v>405</v>
      </c>
    </row>
  </sheetData>
  <sheetProtection algorithmName="SHA-512" hashValue="hiPcZYX4X743/7RPlI6BR4SMQxqzTfXyU76W3NzO5pBvDrekKinYABptuP1WEFv6WpsWzispwDbOkDP/pB7P7w==" saltValue="hsyh7nLC7hhoOUovioOq5g==" spinCount="100000" sheet="1" objects="1" scenarios="1"/>
  <mergeCells count="3">
    <mergeCell ref="A1:G1"/>
    <mergeCell ref="A2:G2"/>
    <mergeCell ref="A3:B3"/>
  </mergeCells>
  <printOptions headings="1" gridLines="1"/>
  <pageMargins left="0.70866141732283472" right="0.70866141732283472" top="0.74803149606299213" bottom="0.74803149606299213" header="0.31496062992125984" footer="0.31496062992125984"/>
  <pageSetup scale="67" orientation="portrait" horizontalDpi="4294967293" verticalDpi="4294967293" r:id="rId1"/>
  <headerFooter>
    <oddHeader>&amp;L&amp;A&amp;R&amp;N</oddHeader>
    <oddFooter>&amp;R&amp;Z&amp;F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7"/>
  <sheetViews>
    <sheetView zoomScale="80" zoomScaleNormal="80" workbookViewId="0">
      <pane xSplit="9" ySplit="1" topLeftCell="J2" activePane="bottomRight" state="frozen"/>
      <selection pane="topRight" activeCell="J1" sqref="J1"/>
      <selection pane="bottomLeft" activeCell="A2" sqref="A2"/>
      <selection pane="bottomRight" activeCell="I9" sqref="I9"/>
    </sheetView>
  </sheetViews>
  <sheetFormatPr defaultRowHeight="14.5" x14ac:dyDescent="0.35"/>
  <cols>
    <col min="6" max="6" width="7.81640625" bestFit="1" customWidth="1"/>
    <col min="7" max="7" width="6.54296875" bestFit="1" customWidth="1"/>
    <col min="8" max="8" width="4.81640625" customWidth="1"/>
    <col min="9" max="9" width="11.26953125" customWidth="1"/>
  </cols>
  <sheetData>
    <row r="1" spans="1:9" x14ac:dyDescent="0.35">
      <c r="A1" s="628" t="s">
        <v>412</v>
      </c>
      <c r="B1" s="629"/>
      <c r="C1" s="629"/>
      <c r="D1" s="629"/>
      <c r="E1" s="629"/>
      <c r="F1" s="629"/>
      <c r="G1" s="629"/>
      <c r="H1" s="629"/>
      <c r="I1" s="630"/>
    </row>
    <row r="2" spans="1:9" x14ac:dyDescent="0.35">
      <c r="A2" s="421" t="s">
        <v>335</v>
      </c>
      <c r="B2" s="7"/>
      <c r="C2" s="7"/>
      <c r="D2" s="424" t="s">
        <v>16</v>
      </c>
      <c r="E2" s="424" t="s">
        <v>10</v>
      </c>
      <c r="F2" s="424" t="s">
        <v>1</v>
      </c>
      <c r="G2" s="424" t="s">
        <v>19</v>
      </c>
      <c r="H2" s="7"/>
      <c r="I2" s="425" t="s">
        <v>327</v>
      </c>
    </row>
    <row r="3" spans="1:9" x14ac:dyDescent="0.35">
      <c r="A3" s="421" t="s">
        <v>237</v>
      </c>
      <c r="B3" s="428"/>
      <c r="C3" s="51"/>
      <c r="D3" s="424"/>
      <c r="E3" s="424"/>
      <c r="F3" s="424"/>
      <c r="G3" s="424"/>
      <c r="H3" s="7"/>
      <c r="I3" s="425"/>
    </row>
    <row r="4" spans="1:9" x14ac:dyDescent="0.35">
      <c r="A4" s="429" t="s">
        <v>96</v>
      </c>
      <c r="B4" s="262"/>
      <c r="C4" s="53" t="str">
        <f>IFERROR((VLOOKUP(A4,table2,3))," ")</f>
        <v>Granular</v>
      </c>
      <c r="D4" s="53">
        <f>IFERROR((VLOOKUP(A4,table2,2))," ")</f>
        <v>1.06</v>
      </c>
      <c r="E4" s="53">
        <f>IFERROR((VLOOKUP(A4,table2,5))," ")</f>
        <v>78.400000000000006</v>
      </c>
      <c r="F4" s="53" t="str">
        <f>IFERROR((VLOOKUP(A4,table2,6))," ")</f>
        <v>kg</v>
      </c>
      <c r="G4" s="53">
        <f>IFERROR((VLOOKUP(A4,table2,8))," ")</f>
        <v>1</v>
      </c>
      <c r="H4" s="53"/>
      <c r="I4" s="419">
        <f>IFERROR((G4*D4*E4)," ")</f>
        <v>83.104000000000013</v>
      </c>
    </row>
    <row r="5" spans="1:9" x14ac:dyDescent="0.35">
      <c r="A5" s="432" t="s">
        <v>20</v>
      </c>
      <c r="B5" s="273"/>
      <c r="C5" s="37"/>
      <c r="D5" s="37"/>
      <c r="E5" s="274"/>
      <c r="F5" s="274"/>
      <c r="G5" s="275"/>
      <c r="H5" s="7"/>
      <c r="I5" s="420">
        <f>SUM(I4)</f>
        <v>83.104000000000013</v>
      </c>
    </row>
    <row r="6" spans="1:9" x14ac:dyDescent="0.35">
      <c r="A6" s="421" t="s">
        <v>238</v>
      </c>
      <c r="B6" s="428"/>
      <c r="C6" s="51"/>
      <c r="D6" s="424"/>
      <c r="E6" s="424"/>
      <c r="F6" s="424"/>
      <c r="G6" s="424"/>
      <c r="H6" s="7"/>
      <c r="I6" s="425"/>
    </row>
    <row r="7" spans="1:9" x14ac:dyDescent="0.35">
      <c r="A7" s="430" t="s">
        <v>49</v>
      </c>
      <c r="B7" s="140"/>
      <c r="C7" s="294" t="str">
        <f>IFERROR((VLOOKUP(A7,table2,3))," ")</f>
        <v>Liquid</v>
      </c>
      <c r="D7" s="294">
        <f>IFERROR((VLOOKUP(A7,table2,2))," ")</f>
        <v>2.13</v>
      </c>
      <c r="E7" s="54">
        <f>IFERROR((VLOOKUP(A7,table2,5))," ")</f>
        <v>3.6</v>
      </c>
      <c r="F7" s="57" t="str">
        <f>IFERROR((VLOOKUP(A7,table2,6))," ")</f>
        <v>kg</v>
      </c>
      <c r="G7" s="54">
        <f>IFERROR((VLOOKUP(A7,table2,8))," ")</f>
        <v>1</v>
      </c>
      <c r="H7" s="53"/>
      <c r="I7" s="415">
        <f>IFERROR((G7*D7*E7)," ")</f>
        <v>7.6680000000000001</v>
      </c>
    </row>
    <row r="8" spans="1:9" x14ac:dyDescent="0.35">
      <c r="A8" s="430" t="s">
        <v>79</v>
      </c>
      <c r="B8" s="140"/>
      <c r="C8" s="141" t="str">
        <f>IFERROR((VLOOKUP(A8,table2,3))," ")</f>
        <v>Liquid</v>
      </c>
      <c r="D8" s="141">
        <f>IFERROR((VLOOKUP(A8,table2,2))," ")</f>
        <v>1.89</v>
      </c>
      <c r="E8" s="54">
        <f>IFERROR((VLOOKUP(A8,table2,5))," ")</f>
        <v>4.8</v>
      </c>
      <c r="F8" s="57" t="str">
        <f>IFERROR((VLOOKUP(A8,table2,6))," ")</f>
        <v>lb.</v>
      </c>
      <c r="G8" s="54">
        <f>IFERROR((VLOOKUP(A8,table2,8))," ")</f>
        <v>1</v>
      </c>
      <c r="H8" s="53"/>
      <c r="I8" s="415">
        <f t="shared" ref="I8:I10" si="0">IFERROR((G8*D8*E8)," ")</f>
        <v>9.0719999999999992</v>
      </c>
    </row>
    <row r="9" spans="1:9" x14ac:dyDescent="0.35">
      <c r="A9" s="430" t="s">
        <v>81</v>
      </c>
      <c r="B9" s="140"/>
      <c r="C9" s="141" t="str">
        <f>IFERROR((VLOOKUP(A9,table2,3))," ")</f>
        <v>Liquid</v>
      </c>
      <c r="D9" s="141">
        <f>IFERROR((VLOOKUP(A9,table2,2))," ")</f>
        <v>1.52</v>
      </c>
      <c r="E9" s="54">
        <f>IFERROR((VLOOKUP(A9,table2,5))," ")</f>
        <v>2.1</v>
      </c>
      <c r="F9" s="57" t="str">
        <f>IFERROR((VLOOKUP(A9,table2,6))," ")</f>
        <v>kg</v>
      </c>
      <c r="G9" s="54">
        <f>IFERROR((VLOOKUP(A9,table2,8))," ")</f>
        <v>2</v>
      </c>
      <c r="H9" s="53"/>
      <c r="I9" s="415">
        <f t="shared" si="0"/>
        <v>6.3840000000000003</v>
      </c>
    </row>
    <row r="10" spans="1:9" x14ac:dyDescent="0.35">
      <c r="A10" s="429" t="s">
        <v>78</v>
      </c>
      <c r="B10" s="262"/>
      <c r="C10" s="263" t="str">
        <f>IFERROR((VLOOKUP(A10,table2,3))," ")</f>
        <v>Liquid</v>
      </c>
      <c r="D10" s="263">
        <f>IFERROR((VLOOKUP(A10,table2,2))," ")</f>
        <v>0.78</v>
      </c>
      <c r="E10" s="264">
        <f>IFERROR((VLOOKUP(A10,table2,5))," ")</f>
        <v>2.1</v>
      </c>
      <c r="F10" s="266" t="str">
        <f>IFERROR((VLOOKUP(A10,table2,6))," ")</f>
        <v>kg</v>
      </c>
      <c r="G10" s="264">
        <f>IFERROR((VLOOKUP(A10,table2,8))," ")</f>
        <v>2</v>
      </c>
      <c r="H10" s="265"/>
      <c r="I10" s="419">
        <f t="shared" si="0"/>
        <v>3.2760000000000002</v>
      </c>
    </row>
    <row r="11" spans="1:9" x14ac:dyDescent="0.35">
      <c r="A11" s="432" t="s">
        <v>20</v>
      </c>
      <c r="B11" s="273"/>
      <c r="C11" s="37"/>
      <c r="D11" s="37"/>
      <c r="E11" s="274"/>
      <c r="F11" s="274"/>
      <c r="G11" s="275"/>
      <c r="H11" s="7"/>
      <c r="I11" s="420">
        <f>SUM(I7:I10)</f>
        <v>26.4</v>
      </c>
    </row>
    <row r="12" spans="1:9" x14ac:dyDescent="0.35">
      <c r="A12" s="421" t="s">
        <v>236</v>
      </c>
      <c r="B12" s="428"/>
      <c r="C12" s="51"/>
      <c r="D12" s="424"/>
      <c r="E12" s="424"/>
      <c r="F12" s="424"/>
      <c r="G12" s="424"/>
      <c r="H12" s="7"/>
      <c r="I12" s="425"/>
    </row>
    <row r="13" spans="1:9" x14ac:dyDescent="0.35">
      <c r="A13" s="430" t="s">
        <v>77</v>
      </c>
      <c r="B13" s="140"/>
      <c r="C13" s="294" t="str">
        <f>IFERROR((VLOOKUP(A13,table2,3))," ")</f>
        <v>Micro-Nutr</v>
      </c>
      <c r="D13" s="141">
        <f>IFERROR((VLOOKUP(A13,table2,2))," ")</f>
        <v>0.49</v>
      </c>
      <c r="E13" s="54">
        <f>IFERROR((VLOOKUP(A13,table2,5))," ")</f>
        <v>8</v>
      </c>
      <c r="F13" s="57" t="str">
        <f>IFERROR((VLOOKUP(A13,table2,6))," ")</f>
        <v>kg</v>
      </c>
      <c r="G13" s="54">
        <f>IFERROR((VLOOKUP(A13,table2,8))," ")</f>
        <v>3</v>
      </c>
      <c r="H13" s="53"/>
      <c r="I13" s="415">
        <f t="shared" ref="I13:I15" si="1">IFERROR((G13*D13*E13)," ")</f>
        <v>11.76</v>
      </c>
    </row>
    <row r="14" spans="1:9" x14ac:dyDescent="0.35">
      <c r="A14" s="430" t="s">
        <v>75</v>
      </c>
      <c r="B14" s="140"/>
      <c r="C14" s="70" t="str">
        <f>IFERROR((VLOOKUP(A14,table2,3))," ")</f>
        <v>Micro-Nutr</v>
      </c>
      <c r="D14" s="141">
        <f>IFERROR((VLOOKUP(A14,table2,2))," ")</f>
        <v>3.06</v>
      </c>
      <c r="E14" s="54">
        <f>IFERROR((VLOOKUP(A14,table2,5))," ")</f>
        <v>16.2</v>
      </c>
      <c r="F14" s="57" t="str">
        <f>IFERROR((VLOOKUP(A14,table2,6))," ")</f>
        <v>kg</v>
      </c>
      <c r="G14" s="54">
        <f>IFERROR((VLOOKUP(A14,table2,8))," ")</f>
        <v>1</v>
      </c>
      <c r="H14" s="53"/>
      <c r="I14" s="415">
        <f t="shared" si="1"/>
        <v>49.571999999999996</v>
      </c>
    </row>
    <row r="15" spans="1:9" x14ac:dyDescent="0.35">
      <c r="A15" s="429" t="s">
        <v>76</v>
      </c>
      <c r="B15" s="262"/>
      <c r="C15" s="268" t="str">
        <f>IFERROR((VLOOKUP(A15,table2,3))," ")</f>
        <v>Micro-Nutr</v>
      </c>
      <c r="D15" s="141">
        <f>IFERROR((VLOOKUP(A15,table2,2))," ")</f>
        <v>13.05</v>
      </c>
      <c r="E15" s="269">
        <f>IFERROR((VLOOKUP(A15,table2,5))," ")</f>
        <v>0.4</v>
      </c>
      <c r="F15" s="266" t="str">
        <f>IFERROR((VLOOKUP(A15,table2,6))," ")</f>
        <v>L</v>
      </c>
      <c r="G15" s="264">
        <f>IFERROR((VLOOKUP(A15,table2,8))," ")</f>
        <v>2</v>
      </c>
      <c r="H15" s="265"/>
      <c r="I15" s="415">
        <f t="shared" si="1"/>
        <v>10.440000000000001</v>
      </c>
    </row>
    <row r="16" spans="1:9" x14ac:dyDescent="0.35">
      <c r="A16" s="421" t="s">
        <v>20</v>
      </c>
      <c r="B16" s="428"/>
      <c r="C16" s="51"/>
      <c r="D16" s="424"/>
      <c r="E16" s="424"/>
      <c r="F16" s="424"/>
      <c r="G16" s="424"/>
      <c r="H16" s="7"/>
      <c r="I16" s="425">
        <f>SUM(I13:I15)</f>
        <v>71.771999999999991</v>
      </c>
    </row>
    <row r="17" spans="1:9" ht="15" thickBot="1" x14ac:dyDescent="0.4">
      <c r="A17" s="427" t="s">
        <v>20</v>
      </c>
      <c r="B17" s="433"/>
      <c r="C17" s="431"/>
      <c r="D17" s="431"/>
      <c r="E17" s="431"/>
      <c r="F17" s="431"/>
      <c r="G17" s="431"/>
      <c r="H17" s="105"/>
      <c r="I17" s="434">
        <f>I16+I11+I5</f>
        <v>181.27600000000001</v>
      </c>
    </row>
    <row r="18" spans="1:9" ht="15" thickTop="1" x14ac:dyDescent="0.35">
      <c r="A18" s="63"/>
      <c r="B18" s="25"/>
      <c r="C18" s="135"/>
      <c r="D18" s="135"/>
      <c r="E18" s="45"/>
      <c r="F18" s="45"/>
      <c r="G18" s="45"/>
      <c r="I18" s="142"/>
    </row>
    <row r="19" spans="1:9" x14ac:dyDescent="0.35">
      <c r="A19" s="421" t="s">
        <v>335</v>
      </c>
      <c r="B19" s="422"/>
      <c r="C19" s="423" t="s">
        <v>25</v>
      </c>
      <c r="D19" s="424" t="s">
        <v>16</v>
      </c>
      <c r="E19" s="424" t="s">
        <v>10</v>
      </c>
      <c r="F19" s="424" t="s">
        <v>1</v>
      </c>
      <c r="G19" s="424" t="s">
        <v>19</v>
      </c>
      <c r="H19" s="7"/>
      <c r="I19" s="425" t="s">
        <v>327</v>
      </c>
    </row>
    <row r="20" spans="1:9" x14ac:dyDescent="0.35">
      <c r="A20" s="435" t="s">
        <v>165</v>
      </c>
      <c r="B20" s="436"/>
      <c r="C20" s="423"/>
      <c r="D20" s="423"/>
      <c r="E20" s="424"/>
      <c r="F20" s="424"/>
      <c r="G20" s="424"/>
      <c r="H20" s="437"/>
      <c r="I20" s="425"/>
    </row>
    <row r="21" spans="1:9" x14ac:dyDescent="0.35">
      <c r="A21" s="411" t="s">
        <v>88</v>
      </c>
      <c r="B21" s="71"/>
      <c r="C21" s="412" t="str">
        <f>IFERROR((VLOOKUP(A21,Table1[],2))," ")</f>
        <v>Fungicide</v>
      </c>
      <c r="D21" s="141">
        <f>IFERROR((VLOOKUP(A21,Table1[],8))," ")</f>
        <v>11.47</v>
      </c>
      <c r="E21" s="413">
        <f>IFERROR((VLOOKUP(A21,Table1[],9))," ")</f>
        <v>2.4</v>
      </c>
      <c r="F21" s="413" t="str">
        <f>IFERROR((VLOOKUP(A21,Table1[],10))," ")</f>
        <v>kg</v>
      </c>
      <c r="G21" s="414">
        <f>IFERROR((VLOOKUP(A21,Table1[],12))," ")</f>
        <v>4</v>
      </c>
      <c r="H21" s="53"/>
      <c r="I21" s="415">
        <f>IFERROR((G21*D21*E21)," ")</f>
        <v>110.11200000000001</v>
      </c>
    </row>
    <row r="22" spans="1:9" x14ac:dyDescent="0.35">
      <c r="A22" s="416" t="s">
        <v>87</v>
      </c>
      <c r="B22" s="417"/>
      <c r="C22" s="412" t="str">
        <f>IFERROR((VLOOKUP(A22,Table1[],2))," ")</f>
        <v>Fungicide</v>
      </c>
      <c r="D22" s="141">
        <f>IFERROR((VLOOKUP(A22,Table1[],8))," ")</f>
        <v>21.51</v>
      </c>
      <c r="E22" s="413">
        <f>IFERROR((VLOOKUP(A22,Table1[],9))," ")</f>
        <v>1.6</v>
      </c>
      <c r="F22" s="413" t="str">
        <f>IFERROR((VLOOKUP(A22,Table1[],10))," ")</f>
        <v>kg</v>
      </c>
      <c r="G22" s="414">
        <f>IFERROR((VLOOKUP(A22,Table1[],12))," ")</f>
        <v>1</v>
      </c>
      <c r="H22" s="53"/>
      <c r="I22" s="415">
        <f t="shared" ref="I22:I24" si="2">IFERROR((G22*D22*E22)," ")</f>
        <v>34.416000000000004</v>
      </c>
    </row>
    <row r="23" spans="1:9" x14ac:dyDescent="0.35">
      <c r="A23" s="411" t="s">
        <v>90</v>
      </c>
      <c r="B23" s="71"/>
      <c r="C23" s="412" t="str">
        <f>IFERROR((VLOOKUP(A23,Table1[],2))," ")</f>
        <v>Fungicide</v>
      </c>
      <c r="D23" s="141">
        <f>IFERROR((VLOOKUP(A23,Table1[],8))," ")</f>
        <v>670.63</v>
      </c>
      <c r="E23" s="413">
        <f>IFERROR((VLOOKUP(A23,Table1[],9))," ")</f>
        <v>0.06</v>
      </c>
      <c r="F23" s="413" t="str">
        <f>IFERROR((VLOOKUP(A23,Table1[],10))," ")</f>
        <v>kg</v>
      </c>
      <c r="G23" s="414">
        <f>IFERROR((VLOOKUP(A23,Table1[],12))," ")</f>
        <v>1</v>
      </c>
      <c r="H23" s="53"/>
      <c r="I23" s="415">
        <f t="shared" si="2"/>
        <v>40.2378</v>
      </c>
    </row>
    <row r="24" spans="1:9" x14ac:dyDescent="0.35">
      <c r="A24" s="418" t="s">
        <v>89</v>
      </c>
      <c r="B24" s="270"/>
      <c r="C24" s="267" t="str">
        <f>IFERROR((VLOOKUP(A24,Table1[],2))," ")</f>
        <v>Fungicide</v>
      </c>
      <c r="D24" s="141">
        <f>IFERROR((VLOOKUP(A24,Table1[],8))," ")</f>
        <v>258.04000000000002</v>
      </c>
      <c r="E24" s="271">
        <f>IFERROR((VLOOKUP(A24,Table1[],9))," ")</f>
        <v>0.14000000000000001</v>
      </c>
      <c r="F24" s="271" t="str">
        <f>IFERROR((VLOOKUP(A24,Table1[],10))," ")</f>
        <v>kg</v>
      </c>
      <c r="G24" s="272">
        <f>IFERROR((VLOOKUP(A24,Table1[],12))," ")</f>
        <v>2</v>
      </c>
      <c r="H24" s="265"/>
      <c r="I24" s="419">
        <f t="shared" si="2"/>
        <v>72.251200000000011</v>
      </c>
    </row>
    <row r="25" spans="1:9" x14ac:dyDescent="0.35">
      <c r="A25" s="435" t="s">
        <v>20</v>
      </c>
      <c r="B25" s="436"/>
      <c r="C25" s="423"/>
      <c r="D25" s="423"/>
      <c r="E25" s="424"/>
      <c r="F25" s="424"/>
      <c r="G25" s="424"/>
      <c r="H25" s="437"/>
      <c r="I25" s="425">
        <f>SUM(I21:I24)</f>
        <v>257.01700000000005</v>
      </c>
    </row>
    <row r="26" spans="1:9" x14ac:dyDescent="0.35">
      <c r="A26" s="435" t="s">
        <v>231</v>
      </c>
      <c r="B26" s="436"/>
      <c r="C26" s="423"/>
      <c r="D26" s="423"/>
      <c r="E26" s="424"/>
      <c r="F26" s="424"/>
      <c r="G26" s="424"/>
      <c r="H26" s="437"/>
      <c r="I26" s="425"/>
    </row>
    <row r="27" spans="1:9" x14ac:dyDescent="0.35">
      <c r="A27" s="411" t="s">
        <v>73</v>
      </c>
      <c r="B27" s="71"/>
      <c r="C27" s="412" t="str">
        <f>IFERROR((VLOOKUP(A27,Table1[],2))," ")</f>
        <v>Herbicide</v>
      </c>
      <c r="D27" s="141">
        <f>IFERROR((VLOOKUP(A27,Table1[],8))," ")</f>
        <v>15.44</v>
      </c>
      <c r="E27" s="413">
        <f>IFERROR((VLOOKUP(A27,Table1[],9))," ")</f>
        <v>1.7</v>
      </c>
      <c r="F27" s="413" t="str">
        <f>IFERROR((VLOOKUP(A27,Table1[],10))," ")</f>
        <v>litres</v>
      </c>
      <c r="G27" s="414">
        <f>IFERROR((VLOOKUP(A27,Table1[],12))," ")</f>
        <v>1</v>
      </c>
      <c r="H27" s="53"/>
      <c r="I27" s="415">
        <f t="shared" ref="I27:I29" si="3">IFERROR((G27*D27*E27)," ")</f>
        <v>26.247999999999998</v>
      </c>
    </row>
    <row r="28" spans="1:9" x14ac:dyDescent="0.35">
      <c r="A28" s="411" t="s">
        <v>74</v>
      </c>
      <c r="B28" s="71"/>
      <c r="C28" s="412" t="str">
        <f>IFERROR((VLOOKUP(A28,Table1[],2))," ")</f>
        <v>Herbicide</v>
      </c>
      <c r="D28" s="141">
        <f>IFERROR((VLOOKUP(A28,Table1[],8))," ")</f>
        <v>442.85</v>
      </c>
      <c r="E28" s="413">
        <f>IFERROR((VLOOKUP(A28,Table1[],9))," ")</f>
        <v>0.15</v>
      </c>
      <c r="F28" s="413" t="str">
        <f>IFERROR((VLOOKUP(A28,Table1[],10))," ")</f>
        <v>litres</v>
      </c>
      <c r="G28" s="414">
        <f>IFERROR((VLOOKUP(A28,Table1[],12))," ")</f>
        <v>1</v>
      </c>
      <c r="H28" s="53"/>
      <c r="I28" s="415">
        <f t="shared" si="3"/>
        <v>66.427499999999995</v>
      </c>
    </row>
    <row r="29" spans="1:9" x14ac:dyDescent="0.35">
      <c r="A29" s="411" t="s">
        <v>71</v>
      </c>
      <c r="B29" s="71"/>
      <c r="C29" s="412" t="str">
        <f>IFERROR((VLOOKUP(A29,Table1[],2))," ")</f>
        <v>Herbicide</v>
      </c>
      <c r="D29" s="141">
        <f>IFERROR((VLOOKUP(A29,Table1[],8))," ")</f>
        <v>9.4</v>
      </c>
      <c r="E29" s="413">
        <f>IFERROR((VLOOKUP(A29,Table1[],9))," ")</f>
        <v>2</v>
      </c>
      <c r="F29" s="413" t="str">
        <f>IFERROR((VLOOKUP(A29,Table1[],10))," ")</f>
        <v>litres</v>
      </c>
      <c r="G29" s="414">
        <f>IFERROR((VLOOKUP(A29,Table1[],12))," ")</f>
        <v>3</v>
      </c>
      <c r="H29" s="53"/>
      <c r="I29" s="415">
        <f t="shared" si="3"/>
        <v>56.400000000000006</v>
      </c>
    </row>
    <row r="30" spans="1:9" x14ac:dyDescent="0.35">
      <c r="A30" s="435" t="s">
        <v>20</v>
      </c>
      <c r="B30" s="436"/>
      <c r="C30" s="423"/>
      <c r="D30" s="423"/>
      <c r="E30" s="424"/>
      <c r="F30" s="424"/>
      <c r="G30" s="424"/>
      <c r="H30" s="437"/>
      <c r="I30" s="425">
        <f>SUM(I27:I29)</f>
        <v>149.07550000000001</v>
      </c>
    </row>
    <row r="31" spans="1:9" x14ac:dyDescent="0.35">
      <c r="A31" s="435" t="s">
        <v>163</v>
      </c>
      <c r="B31" s="436"/>
      <c r="C31" s="423"/>
      <c r="D31" s="423"/>
      <c r="E31" s="424"/>
      <c r="F31" s="424"/>
      <c r="G31" s="424"/>
      <c r="H31" s="437"/>
      <c r="I31" s="425"/>
    </row>
    <row r="32" spans="1:9" x14ac:dyDescent="0.35">
      <c r="A32" s="411" t="s">
        <v>83</v>
      </c>
      <c r="B32" s="71"/>
      <c r="C32" s="412" t="str">
        <f>IFERROR((VLOOKUP(A32,Table1[],2))," ")</f>
        <v>Insecticide</v>
      </c>
      <c r="D32" s="141">
        <f>IFERROR((VLOOKUP(A32,Table1[],8))," ")</f>
        <v>80.150000000000006</v>
      </c>
      <c r="E32" s="413">
        <f>IFERROR((VLOOKUP(A32,Table1[],9))," ")</f>
        <v>0.09</v>
      </c>
      <c r="F32" s="413" t="str">
        <f>IFERROR((VLOOKUP(A32,Table1[],10))," ")</f>
        <v>litres</v>
      </c>
      <c r="G32" s="414">
        <f>IFERROR((VLOOKUP(A32,Table1[],12))," ")</f>
        <v>1</v>
      </c>
      <c r="H32" s="53"/>
      <c r="I32" s="415">
        <f t="shared" ref="I32:I36" si="4">IFERROR((G32*D32*E32)," ")</f>
        <v>7.2134999999999998</v>
      </c>
    </row>
    <row r="33" spans="1:9" x14ac:dyDescent="0.35">
      <c r="A33" s="411" t="s">
        <v>85</v>
      </c>
      <c r="B33" s="71"/>
      <c r="C33" s="412" t="str">
        <f>IFERROR((VLOOKUP(A33,Table1[],2))," ")</f>
        <v>Insecticide</v>
      </c>
      <c r="D33" s="141">
        <f>IFERROR((VLOOKUP(A33,Table1[],8))," ")</f>
        <v>490.42</v>
      </c>
      <c r="E33" s="413">
        <f>IFERROR((VLOOKUP(A33,Table1[],9))," ")</f>
        <v>3.2399999999999998E-2</v>
      </c>
      <c r="F33" s="413" t="str">
        <f>IFERROR((VLOOKUP(A33,Table1[],10))," ")</f>
        <v>kg</v>
      </c>
      <c r="G33" s="414">
        <f>IFERROR((VLOOKUP(A33,Table1[],12))," ")</f>
        <v>1</v>
      </c>
      <c r="H33" s="53"/>
      <c r="I33" s="415">
        <f t="shared" si="4"/>
        <v>15.889607999999999</v>
      </c>
    </row>
    <row r="34" spans="1:9" x14ac:dyDescent="0.35">
      <c r="A34" s="411" t="s">
        <v>86</v>
      </c>
      <c r="B34" s="71"/>
      <c r="C34" s="412" t="str">
        <f>IFERROR((VLOOKUP(A34,Table1[],2))," ")</f>
        <v>Insecticide</v>
      </c>
      <c r="D34" s="141">
        <f>IFERROR((VLOOKUP(A34,Table1[],8))," ")</f>
        <v>388.71</v>
      </c>
      <c r="E34" s="413">
        <f>IFERROR((VLOOKUP(A34,Table1[],9))," ")</f>
        <v>0.17</v>
      </c>
      <c r="F34" s="413" t="str">
        <f>IFERROR((VLOOKUP(A34,Table1[],10))," ")</f>
        <v>kg</v>
      </c>
      <c r="G34" s="414">
        <f>IFERROR((VLOOKUP(A34,Table1[],12))," ")</f>
        <v>1</v>
      </c>
      <c r="H34" s="53"/>
      <c r="I34" s="415">
        <f t="shared" si="4"/>
        <v>66.080700000000007</v>
      </c>
    </row>
    <row r="35" spans="1:9" x14ac:dyDescent="0.35">
      <c r="A35" s="411" t="s">
        <v>84</v>
      </c>
      <c r="B35" s="71"/>
      <c r="C35" s="412" t="str">
        <f>IFERROR((VLOOKUP(A35,Table1[],2))," ")</f>
        <v>Insecticide</v>
      </c>
      <c r="D35" s="141">
        <f>IFERROR((VLOOKUP(A35,Table1[],8))," ")</f>
        <v>82.88</v>
      </c>
      <c r="E35" s="413">
        <f>IFERROR((VLOOKUP(A35,Table1[],9))," ")</f>
        <v>0.68</v>
      </c>
      <c r="F35" s="413" t="str">
        <f>IFERROR((VLOOKUP(A35,Table1[],10))," ")</f>
        <v>kg</v>
      </c>
      <c r="G35" s="414">
        <f>IFERROR((VLOOKUP(A35,Table1[],12))," ")</f>
        <v>2</v>
      </c>
      <c r="H35" s="53"/>
      <c r="I35" s="415">
        <f t="shared" si="4"/>
        <v>112.71680000000001</v>
      </c>
    </row>
    <row r="36" spans="1:9" x14ac:dyDescent="0.35">
      <c r="A36" s="411" t="s">
        <v>82</v>
      </c>
      <c r="B36" s="71"/>
      <c r="C36" s="412" t="str">
        <f>IFERROR((VLOOKUP(A36,Table1[],2))," ")</f>
        <v>Insecticide</v>
      </c>
      <c r="D36" s="141">
        <f>IFERROR((VLOOKUP(A36,Table1[],8))," ")</f>
        <v>1.66</v>
      </c>
      <c r="E36" s="413">
        <f>IFERROR((VLOOKUP(A36,Table1[],9))," ")</f>
        <v>24.3</v>
      </c>
      <c r="F36" s="413" t="str">
        <f>IFERROR((VLOOKUP(A36,Table1[],10))," ")</f>
        <v>litres</v>
      </c>
      <c r="G36" s="414">
        <f>IFERROR((VLOOKUP(A36,Table1[],12))," ")</f>
        <v>1</v>
      </c>
      <c r="H36" s="53"/>
      <c r="I36" s="415">
        <f t="shared" si="4"/>
        <v>40.338000000000001</v>
      </c>
    </row>
    <row r="37" spans="1:9" x14ac:dyDescent="0.35">
      <c r="A37" s="435" t="s">
        <v>20</v>
      </c>
      <c r="B37" s="436"/>
      <c r="C37" s="423"/>
      <c r="D37" s="423"/>
      <c r="E37" s="424"/>
      <c r="F37" s="424"/>
      <c r="G37" s="424"/>
      <c r="H37" s="437"/>
      <c r="I37" s="425">
        <f>SUM(I32:I36)</f>
        <v>242.238608</v>
      </c>
    </row>
    <row r="38" spans="1:9" x14ac:dyDescent="0.35">
      <c r="A38" s="435" t="s">
        <v>164</v>
      </c>
      <c r="B38" s="436"/>
      <c r="C38" s="423"/>
      <c r="D38" s="423"/>
      <c r="E38" s="424"/>
      <c r="F38" s="424"/>
      <c r="G38" s="424"/>
      <c r="H38" s="437"/>
      <c r="I38" s="425"/>
    </row>
    <row r="39" spans="1:9" x14ac:dyDescent="0.35">
      <c r="A39" s="411" t="s">
        <v>94</v>
      </c>
      <c r="B39" s="71"/>
      <c r="C39" s="412" t="str">
        <f>IFERROR((VLOOKUP(A39,Table1[],2))," ")</f>
        <v>Growth Reg</v>
      </c>
      <c r="D39" s="141">
        <f>IFERROR((VLOOKUP(A39,Table1[],8))," ")</f>
        <v>208.15</v>
      </c>
      <c r="E39" s="413">
        <f>IFERROR((VLOOKUP(A39,Table1[],9))," ")</f>
        <v>0.54700000000000004</v>
      </c>
      <c r="F39" s="413" t="str">
        <f>IFERROR((VLOOKUP(A39,Table1[],10))," ")</f>
        <v>kg</v>
      </c>
      <c r="G39" s="414">
        <f>IFERROR((VLOOKUP(A39,Table1[],12))," ")</f>
        <v>3</v>
      </c>
      <c r="H39" s="53"/>
      <c r="I39" s="415">
        <f t="shared" ref="I39:I42" si="5">IFERROR((G39*D39*E39)," ")</f>
        <v>341.57415000000003</v>
      </c>
    </row>
    <row r="40" spans="1:9" x14ac:dyDescent="0.35">
      <c r="A40" s="411" t="s">
        <v>91</v>
      </c>
      <c r="B40" s="71"/>
      <c r="C40" s="412" t="str">
        <f>IFERROR((VLOOKUP(A40,Table1[],2))," ")</f>
        <v>Growth Reg</v>
      </c>
      <c r="D40" s="141">
        <f>IFERROR((VLOOKUP(A40,Table1[],8))," ")</f>
        <v>1.53</v>
      </c>
      <c r="E40" s="413">
        <f>IFERROR((VLOOKUP(A40,Table1[],9))," ")</f>
        <v>1.6</v>
      </c>
      <c r="F40" s="413" t="str">
        <f>IFERROR((VLOOKUP(A40,Table1[],10))," ")</f>
        <v>litres</v>
      </c>
      <c r="G40" s="414">
        <f>IFERROR((VLOOKUP(A40,Table1[],12))," ")</f>
        <v>1</v>
      </c>
      <c r="H40" s="53"/>
      <c r="I40" s="415">
        <f t="shared" si="5"/>
        <v>2.4480000000000004</v>
      </c>
    </row>
    <row r="41" spans="1:9" x14ac:dyDescent="0.35">
      <c r="A41" s="411" t="s">
        <v>93</v>
      </c>
      <c r="B41" s="71"/>
      <c r="C41" s="412" t="str">
        <f>IFERROR((VLOOKUP(A41,Table1[],2))," ")</f>
        <v>Growth Reg</v>
      </c>
      <c r="D41" s="141">
        <f>IFERROR((VLOOKUP(A41,Table1[],8))," ")</f>
        <v>91.61</v>
      </c>
      <c r="E41" s="413">
        <f>IFERROR((VLOOKUP(A41,Table1[],9))," ")</f>
        <v>1</v>
      </c>
      <c r="F41" s="413" t="str">
        <f>IFERROR((VLOOKUP(A41,Table1[],10))," ")</f>
        <v>litres</v>
      </c>
      <c r="G41" s="414">
        <f>IFERROR((VLOOKUP(A41,Table1[],12))," ")</f>
        <v>1</v>
      </c>
      <c r="H41" s="53"/>
      <c r="I41" s="415">
        <f t="shared" si="5"/>
        <v>91.61</v>
      </c>
    </row>
    <row r="42" spans="1:9" x14ac:dyDescent="0.35">
      <c r="A42" s="411" t="s">
        <v>92</v>
      </c>
      <c r="B42" s="71"/>
      <c r="C42" s="412" t="str">
        <f>IFERROR((VLOOKUP(A42,Table1[],2))," ")</f>
        <v>Growth Reg</v>
      </c>
      <c r="D42" s="141">
        <f>IFERROR((VLOOKUP(A42,Table1[],8))," ")</f>
        <v>25.86</v>
      </c>
      <c r="E42" s="413">
        <f>IFERROR((VLOOKUP(A42,Table1[],9))," ")</f>
        <v>1.8</v>
      </c>
      <c r="F42" s="413" t="str">
        <f>IFERROR((VLOOKUP(A42,Table1[],10))," ")</f>
        <v>litres</v>
      </c>
      <c r="G42" s="414">
        <f>IFERROR((VLOOKUP(A42,Table1[],12))," ")</f>
        <v>1</v>
      </c>
      <c r="H42" s="53"/>
      <c r="I42" s="415">
        <f t="shared" si="5"/>
        <v>46.548000000000002</v>
      </c>
    </row>
    <row r="43" spans="1:9" x14ac:dyDescent="0.35">
      <c r="A43" s="435" t="s">
        <v>20</v>
      </c>
      <c r="B43" s="436"/>
      <c r="C43" s="423"/>
      <c r="D43" s="423"/>
      <c r="E43" s="424"/>
      <c r="F43" s="424"/>
      <c r="G43" s="424"/>
      <c r="H43" s="437"/>
      <c r="I43" s="425">
        <f>SUM(I39:I42)</f>
        <v>482.18015000000003</v>
      </c>
    </row>
    <row r="44" spans="1:9" x14ac:dyDescent="0.35">
      <c r="A44" s="442" t="s">
        <v>232</v>
      </c>
      <c r="B44" s="438"/>
      <c r="C44" s="423"/>
      <c r="D44" s="423"/>
      <c r="E44" s="424"/>
      <c r="F44" s="424"/>
      <c r="G44" s="424"/>
      <c r="H44" s="437"/>
      <c r="I44" s="425"/>
    </row>
    <row r="45" spans="1:9" x14ac:dyDescent="0.35">
      <c r="A45" s="411" t="s">
        <v>70</v>
      </c>
      <c r="B45" s="71"/>
      <c r="C45" s="412" t="str">
        <f>IFERROR((VLOOKUP(A45,Table1[],2))," ")</f>
        <v>Rodent</v>
      </c>
      <c r="D45" s="141">
        <f>IFERROR((VLOOKUP(A45,Table1[],8))," ")</f>
        <v>7.8</v>
      </c>
      <c r="E45" s="413">
        <f>IFERROR((VLOOKUP(A45,Table1[],9))," ")</f>
        <v>2</v>
      </c>
      <c r="F45" s="413" t="str">
        <f>IFERROR((VLOOKUP(A45,Table1[],10))," ")</f>
        <v>kg</v>
      </c>
      <c r="G45" s="414">
        <f>IFERROR((VLOOKUP(A45,Table1[],12))," ")</f>
        <v>1</v>
      </c>
      <c r="H45" s="53"/>
      <c r="I45" s="415">
        <f t="shared" ref="I45" si="6">IFERROR((G45*D45*E45)," ")</f>
        <v>15.6</v>
      </c>
    </row>
    <row r="46" spans="1:9" x14ac:dyDescent="0.35">
      <c r="A46" s="435" t="s">
        <v>20</v>
      </c>
      <c r="B46" s="436"/>
      <c r="C46" s="423"/>
      <c r="D46" s="423"/>
      <c r="E46" s="424"/>
      <c r="F46" s="424"/>
      <c r="G46" s="424"/>
      <c r="H46" s="437"/>
      <c r="I46" s="425">
        <f>SUM(I45)</f>
        <v>15.6</v>
      </c>
    </row>
    <row r="47" spans="1:9" x14ac:dyDescent="0.35">
      <c r="A47" s="435" t="s">
        <v>304</v>
      </c>
      <c r="B47" s="436"/>
      <c r="C47" s="423"/>
      <c r="D47" s="423"/>
      <c r="E47" s="424"/>
      <c r="F47" s="424"/>
      <c r="G47" s="424"/>
      <c r="H47" s="437"/>
      <c r="I47" s="425">
        <f>I46+I43+I37+I30+I25</f>
        <v>1146.1112580000001</v>
      </c>
    </row>
  </sheetData>
  <sheetProtection algorithmName="SHA-512" hashValue="P81YawktRHQibwMpq6vnMdr4d5sXP3pIqjpZp4JUSOgUDejeTxFdNxFKpFOAc0p1c5xrhXvzv9xTp+Vl1lhNwQ==" saltValue="dEBDo1lWG0T7n/wACk24Ww==" spinCount="100000" sheet="1" objects="1" scenarios="1"/>
  <mergeCells count="1">
    <mergeCell ref="A1:I1"/>
  </mergeCells>
  <printOptions headings="1" gridLines="1"/>
  <pageMargins left="0.70866141732283472" right="0.70866141732283472" top="0.74803149606299213" bottom="0.74803149606299213" header="0.31496062992125984" footer="0.31496062992125984"/>
  <pageSetup scale="97" orientation="portrait" horizontalDpi="4294967293" verticalDpi="4294967293" r:id="rId1"/>
  <headerFooter>
    <oddHeader>&amp;L&amp;A&amp;R&amp;N</oddHeader>
    <oddFooter>&amp;R&amp;Z&amp;F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'Fert &amp; Micro Nutrients Table'!$M$4:$M$13</xm:f>
          </x14:formula1>
          <xm:sqref>A4 A13:A15 A7:A10 B4:B16</xm:sqref>
        </x14:dataValidation>
        <x14:dataValidation type="list" allowBlank="1" showInputMessage="1" showErrorMessage="1" xr:uid="{00000000-0002-0000-0500-000001000000}">
          <x14:formula1>
            <xm:f>'Chem Data Table'!$N$5:$N$22</xm:f>
          </x14:formula1>
          <xm:sqref>A21:A24 A27:A29 A39:A42 A32:A36 A45 B21:B47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23"/>
  <sheetViews>
    <sheetView zoomScale="80" zoomScaleNormal="80" workbookViewId="0">
      <pane xSplit="7" ySplit="1" topLeftCell="H2" activePane="bottomRight" state="frozen"/>
      <selection pane="topRight" activeCell="H1" sqref="H1"/>
      <selection pane="bottomLeft" activeCell="A2" sqref="A2"/>
      <selection pane="bottomRight" activeCell="G5" sqref="G5"/>
    </sheetView>
  </sheetViews>
  <sheetFormatPr defaultRowHeight="14.5" x14ac:dyDescent="0.35"/>
  <cols>
    <col min="1" max="1" width="2.81640625" customWidth="1"/>
    <col min="2" max="2" width="29.453125" bestFit="1" customWidth="1"/>
    <col min="3" max="3" width="6.54296875" bestFit="1" customWidth="1"/>
    <col min="4" max="4" width="2.1796875" customWidth="1"/>
    <col min="5" max="5" width="33.54296875" bestFit="1" customWidth="1"/>
    <col min="6" max="6" width="6.1796875" customWidth="1"/>
    <col min="7" max="7" width="9.54296875" bestFit="1" customWidth="1"/>
  </cols>
  <sheetData>
    <row r="1" spans="2:7" x14ac:dyDescent="0.35">
      <c r="B1" s="547" t="s">
        <v>359</v>
      </c>
      <c r="C1" s="548" t="s">
        <v>19</v>
      </c>
      <c r="E1" s="421" t="s">
        <v>361</v>
      </c>
      <c r="F1" s="424" t="s">
        <v>360</v>
      </c>
      <c r="G1" s="444" t="s">
        <v>336</v>
      </c>
    </row>
    <row r="2" spans="2:7" x14ac:dyDescent="0.35">
      <c r="B2" s="22" t="str">
        <f>'Operation Sched'!B5</f>
        <v>Fertilize</v>
      </c>
      <c r="C2" s="543">
        <f>'Operation Sched'!G5</f>
        <v>1</v>
      </c>
      <c r="E2" s="19" t="str">
        <f>'Mach Oper, Rep &amp;  Inv'!B5</f>
        <v>Tractor-4WD</v>
      </c>
      <c r="F2" s="551">
        <f>'Mach Oper, Rep &amp;  Inv'!D5</f>
        <v>65</v>
      </c>
      <c r="G2" s="445">
        <f>'Mach Oper, Rep &amp;  Inv'!E5</f>
        <v>48000</v>
      </c>
    </row>
    <row r="3" spans="2:7" x14ac:dyDescent="0.35">
      <c r="B3" s="19" t="str">
        <f>'Operation Sched'!B6</f>
        <v>Hand Hoe</v>
      </c>
      <c r="C3" s="544">
        <f>'Operation Sched'!G6</f>
        <v>1</v>
      </c>
      <c r="E3" s="19" t="str">
        <f>'Mach Oper, Rep &amp;  Inv'!B6</f>
        <v>Front Forks/3pt.bin loader</v>
      </c>
      <c r="F3" s="546">
        <f>'Mach Oper, Rep &amp;  Inv'!D6</f>
        <v>0</v>
      </c>
      <c r="G3" s="445">
        <f>'Mach Oper, Rep &amp;  Inv'!E6</f>
        <v>11580</v>
      </c>
    </row>
    <row r="4" spans="2:7" x14ac:dyDescent="0.35">
      <c r="B4" s="19" t="str">
        <f>'Operation Sched'!B7</f>
        <v>Spray Herbicides</v>
      </c>
      <c r="C4" s="544">
        <f>'Operation Sched'!G7</f>
        <v>3</v>
      </c>
      <c r="E4" s="19" t="str">
        <f>'Mach Oper, Rep &amp;  Inv'!B7</f>
        <v>Power Pruner (Chainsaw on Pole)</v>
      </c>
      <c r="F4" s="546">
        <f>'Mach Oper, Rep &amp;  Inv'!D7</f>
        <v>0</v>
      </c>
      <c r="G4" s="445">
        <f>'Mach Oper, Rep &amp;  Inv'!E7</f>
        <v>900</v>
      </c>
    </row>
    <row r="5" spans="2:7" x14ac:dyDescent="0.35">
      <c r="B5" s="19" t="str">
        <f>'Operation Sched'!B8</f>
        <v>Pruning &amp; Training</v>
      </c>
      <c r="C5" s="544">
        <f>'Operation Sched'!G8</f>
        <v>1</v>
      </c>
      <c r="E5" s="19" t="str">
        <f>'Mach Oper, Rep &amp;  Inv'!B8</f>
        <v>Weed Sprayer 300L</v>
      </c>
      <c r="F5" s="546">
        <f>'Mach Oper, Rep &amp;  Inv'!D8</f>
        <v>0</v>
      </c>
      <c r="G5" s="445">
        <f>'Mach Oper, Rep &amp;  Inv'!E8</f>
        <v>3700</v>
      </c>
    </row>
    <row r="6" spans="2:7" x14ac:dyDescent="0.35">
      <c r="B6" s="19" t="str">
        <f>'Operation Sched'!B9</f>
        <v>Thinning</v>
      </c>
      <c r="C6" s="544">
        <f>'Operation Sched'!G9</f>
        <v>1</v>
      </c>
      <c r="E6" s="19" t="str">
        <f>'Mach Oper, Rep &amp;  Inv'!B9</f>
        <v>Orchard Sprayer 900L</v>
      </c>
      <c r="F6" s="546">
        <f>'Mach Oper, Rep &amp;  Inv'!D9</f>
        <v>0</v>
      </c>
      <c r="G6" s="445">
        <f>'Mach Oper, Rep &amp;  Inv'!E9</f>
        <v>20000</v>
      </c>
    </row>
    <row r="7" spans="2:7" x14ac:dyDescent="0.35">
      <c r="B7" s="19" t="str">
        <f>'Operation Sched'!B10</f>
        <v>Mowing</v>
      </c>
      <c r="C7" s="544">
        <f>'Operation Sched'!G10</f>
        <v>4</v>
      </c>
      <c r="E7" s="19" t="str">
        <f>'Mach Oper, Rep &amp;  Inv'!B10</f>
        <v>Fertilizer Spreader</v>
      </c>
      <c r="F7" s="546">
        <f>'Mach Oper, Rep &amp;  Inv'!D10</f>
        <v>0</v>
      </c>
      <c r="G7" s="445">
        <f>'Mach Oper, Rep &amp;  Inv'!E10</f>
        <v>2800</v>
      </c>
    </row>
    <row r="8" spans="2:7" x14ac:dyDescent="0.35">
      <c r="B8" s="19" t="str">
        <f>'Operation Sched'!B11</f>
        <v>Spraying not Herbicides</v>
      </c>
      <c r="C8" s="544">
        <f>'Operation Sched'!G11</f>
        <v>12</v>
      </c>
      <c r="E8" s="19" t="str">
        <f>'Mach Oper, Rep &amp;  Inv'!B11</f>
        <v>Rotovator 60 Inch</v>
      </c>
      <c r="F8" s="546">
        <f>'Mach Oper, Rep &amp;  Inv'!D11</f>
        <v>0</v>
      </c>
      <c r="G8" s="445">
        <f>'Mach Oper, Rep &amp;  Inv'!E11</f>
        <v>4000</v>
      </c>
    </row>
    <row r="9" spans="2:7" x14ac:dyDescent="0.35">
      <c r="B9" s="19" t="str">
        <f>'Operation Sched'!B12</f>
        <v>Irrigation</v>
      </c>
      <c r="C9" s="544">
        <f>'Operation Sched'!G12</f>
        <v>1</v>
      </c>
      <c r="E9" s="19" t="str">
        <f>'Mach Oper, Rep &amp;  Inv'!B12</f>
        <v>Flail Mower 69 Inch</v>
      </c>
      <c r="F9" s="546">
        <f>'Mach Oper, Rep &amp;  Inv'!D12</f>
        <v>0</v>
      </c>
      <c r="G9" s="445">
        <f>'Mach Oper, Rep &amp;  Inv'!E12</f>
        <v>7800</v>
      </c>
    </row>
    <row r="10" spans="2:7" x14ac:dyDescent="0.35">
      <c r="B10" s="19" t="str">
        <f>'Operation Sched'!B13</f>
        <v>Hand Spray Rodent Control</v>
      </c>
      <c r="C10" s="544">
        <f>'Operation Sched'!G13</f>
        <v>1</v>
      </c>
      <c r="E10" s="19" t="str">
        <f>'Mach Oper, Rep &amp;  Inv'!B13</f>
        <v>Mechanical Ladder</v>
      </c>
      <c r="F10" s="546">
        <f>'Mach Oper, Rep &amp;  Inv'!D13</f>
        <v>0</v>
      </c>
      <c r="G10" s="445">
        <f>'Mach Oper, Rep &amp;  Inv'!E13</f>
        <v>5500</v>
      </c>
    </row>
    <row r="11" spans="2:7" x14ac:dyDescent="0.35">
      <c r="B11" s="19" t="str">
        <f>'Operation Sched'!B14</f>
        <v>Harvesting (Contract Picking)</v>
      </c>
      <c r="C11" s="544">
        <f>'Operation Sched'!G14</f>
        <v>1</v>
      </c>
      <c r="E11" s="19" t="str">
        <f>'Mach Oper, Rep &amp;  Inv'!B14</f>
        <v>Pick-Up 1/2 Ton (Used)</v>
      </c>
      <c r="F11" s="546">
        <f>'Mach Oper, Rep &amp;  Inv'!D14</f>
        <v>0</v>
      </c>
      <c r="G11" s="445">
        <f>'Mach Oper, Rep &amp;  Inv'!E14</f>
        <v>11500</v>
      </c>
    </row>
    <row r="12" spans="2:7" x14ac:dyDescent="0.35">
      <c r="B12" s="19" t="str">
        <f>'Operation Sched'!B15</f>
        <v>Bin Yarding</v>
      </c>
      <c r="C12" s="544">
        <f>'Operation Sched'!G15</f>
        <v>1</v>
      </c>
      <c r="E12" s="19" t="str">
        <f>'Mach Oper, Rep &amp;  Inv'!B15</f>
        <v>Irrigation Sytem (Microjet+Filter)</v>
      </c>
      <c r="F12" s="546">
        <f>'Mach Oper, Rep &amp;  Inv'!D15</f>
        <v>0</v>
      </c>
      <c r="G12" s="445">
        <f>'Mach Oper, Rep &amp;  Inv'!E15</f>
        <v>25000</v>
      </c>
    </row>
    <row r="13" spans="2:7" x14ac:dyDescent="0.35">
      <c r="B13" s="446" t="str">
        <f>'Operation Sched'!B16</f>
        <v>Bin Hauling</v>
      </c>
      <c r="C13" s="545">
        <f>'Operation Sched'!G16</f>
        <v>1</v>
      </c>
      <c r="E13" s="19" t="str">
        <f>'Mach Oper, Rep &amp;  Inv'!B16</f>
        <v>3 pt.Hitch/Post Auger</v>
      </c>
      <c r="F13" s="546">
        <f>'Mach Oper, Rep &amp;  Inv'!D16</f>
        <v>0</v>
      </c>
      <c r="G13" s="445">
        <f>'Mach Oper, Rep &amp;  Inv'!E16</f>
        <v>3000</v>
      </c>
    </row>
    <row r="14" spans="2:7" ht="15" thickBot="1" x14ac:dyDescent="0.4">
      <c r="E14" s="427" t="str">
        <f>'Mach Oper, Rep &amp;  Inv'!B17</f>
        <v>Total Machinery</v>
      </c>
      <c r="F14" s="426"/>
      <c r="G14" s="448">
        <f>'Mach Oper, Rep &amp;  Inv'!E17</f>
        <v>143780</v>
      </c>
    </row>
    <row r="15" spans="2:7" ht="15" thickTop="1" x14ac:dyDescent="0.35"/>
    <row r="16" spans="2:7" x14ac:dyDescent="0.35">
      <c r="E16" s="421" t="str">
        <f>'Mach Oper, Rep &amp;  Inv'!B19</f>
        <v xml:space="preserve">Other Capital Investments </v>
      </c>
      <c r="F16" s="424"/>
      <c r="G16" s="444"/>
    </row>
    <row r="17" spans="5:7" x14ac:dyDescent="0.35">
      <c r="E17" s="19" t="str">
        <f>'Mach Oper, Rep &amp;  Inv'!B20</f>
        <v>Small Tools</v>
      </c>
      <c r="F17" s="546"/>
      <c r="G17" s="445">
        <f>'Mach Oper, Rep &amp;  Inv'!E20</f>
        <v>3000</v>
      </c>
    </row>
    <row r="18" spans="5:7" x14ac:dyDescent="0.35">
      <c r="E18" s="19" t="str">
        <f>'Mach Oper, Rep &amp;  Inv'!B21</f>
        <v>Ladders</v>
      </c>
      <c r="F18" s="546"/>
      <c r="G18" s="445">
        <f>'Mach Oper, Rep &amp;  Inv'!E21</f>
        <v>1200</v>
      </c>
    </row>
    <row r="19" spans="5:7" x14ac:dyDescent="0.35">
      <c r="E19" s="19" t="str">
        <f>'Mach Oper, Rep &amp;  Inv'!B22</f>
        <v>Deer Fence (10 Acre Perimeter)</v>
      </c>
      <c r="F19" s="546"/>
      <c r="G19" s="445">
        <f>'Mach Oper, Rep &amp;  Inv'!E22</f>
        <v>26255.040000000001</v>
      </c>
    </row>
    <row r="20" spans="5:7" x14ac:dyDescent="0.35">
      <c r="E20" s="19" t="str">
        <f>'Mach Oper, Rep &amp;  Inv'!B23</f>
        <v>Machine Shed ( 16 x 32)</v>
      </c>
      <c r="F20" s="546"/>
      <c r="G20" s="445">
        <f>'Mach Oper, Rep &amp;  Inv'!E23</f>
        <v>25000</v>
      </c>
    </row>
    <row r="21" spans="5:7" x14ac:dyDescent="0.35">
      <c r="E21" s="19" t="str">
        <f>'Mach Oper, Rep &amp;  Inv'!B24</f>
        <v>Other Capital</v>
      </c>
      <c r="F21" s="546"/>
      <c r="G21" s="445">
        <f>'Mach Oper, Rep &amp;  Inv'!E24</f>
        <v>55455.040000000001</v>
      </c>
    </row>
    <row r="22" spans="5:7" ht="15" thickBot="1" x14ac:dyDescent="0.4">
      <c r="E22" s="447" t="str">
        <f>'Mach Oper, Rep &amp;  Inv'!B26</f>
        <v>Other Capital</v>
      </c>
      <c r="F22" s="426"/>
      <c r="G22" s="448">
        <f>'Mach Oper, Rep &amp;  Inv'!E26</f>
        <v>199800.24</v>
      </c>
    </row>
    <row r="23" spans="5:7" ht="15" thickTop="1" x14ac:dyDescent="0.35"/>
  </sheetData>
  <sheetProtection algorithmName="SHA-512" hashValue="XkGmXFeQ61YSQWqU4t2RnC74zHjxDUTMt/Un4PA2XYi7pKAc343aNxu9xb0zl2OVGZb8oxxSzGpnyGgADBiikQ==" saltValue="YcdmvFCr+Gl4ZMdTBEZiFg==" spinCount="100000" sheet="1" objects="1" scenarios="1"/>
  <printOptions headings="1" gridLines="1"/>
  <pageMargins left="0.70866141732283472" right="0.70866141732283472" top="0.74803149606299213" bottom="0.74803149606299213" header="0.31496062992125984" footer="0.31496062992125984"/>
  <pageSetup orientation="landscape" r:id="rId1"/>
  <headerFooter>
    <oddHeader>&amp;L&amp;A&amp;R&amp;N</oddHeader>
    <oddFooter>&amp;R&amp;Z&amp;F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zoomScale="79" zoomScaleNormal="79" workbookViewId="0">
      <pane xSplit="15" ySplit="4" topLeftCell="P23" activePane="bottomRight" state="frozen"/>
      <selection pane="topRight" activeCell="P1" sqref="P1"/>
      <selection pane="bottomLeft" activeCell="A5" sqref="A5"/>
      <selection pane="bottomRight" activeCell="K33" sqref="K33"/>
    </sheetView>
  </sheetViews>
  <sheetFormatPr defaultRowHeight="14.5" outlineLevelCol="1" x14ac:dyDescent="0.35"/>
  <cols>
    <col min="1" max="1" width="30" customWidth="1"/>
    <col min="2" max="2" width="5" bestFit="1" customWidth="1"/>
    <col min="3" max="3" width="11.54296875" hidden="1" customWidth="1" outlineLevel="1"/>
    <col min="4" max="4" width="10.1796875" hidden="1" customWidth="1" outlineLevel="1"/>
    <col min="5" max="5" width="10.1796875" customWidth="1" collapsed="1"/>
    <col min="6" max="6" width="9.81640625" bestFit="1" customWidth="1"/>
    <col min="7" max="7" width="10.81640625" style="3" hidden="1" customWidth="1" outlineLevel="1"/>
    <col min="8" max="8" width="9.7265625" customWidth="1" collapsed="1"/>
    <col min="9" max="9" width="9.54296875" hidden="1" customWidth="1" outlineLevel="1"/>
    <col min="10" max="10" width="3.7265625" style="62" customWidth="1" collapsed="1"/>
    <col min="11" max="11" width="31.54296875" bestFit="1" customWidth="1"/>
    <col min="12" max="12" width="5" bestFit="1" customWidth="1"/>
    <col min="13" max="13" width="9.54296875" bestFit="1" customWidth="1"/>
    <col min="15" max="15" width="12.54296875" bestFit="1" customWidth="1"/>
  </cols>
  <sheetData>
    <row r="1" spans="1:16" ht="15.5" x14ac:dyDescent="0.35">
      <c r="A1" s="620" t="s">
        <v>340</v>
      </c>
      <c r="B1" s="621"/>
      <c r="C1" s="621"/>
      <c r="D1" s="621"/>
      <c r="E1" s="621"/>
      <c r="F1" s="621"/>
      <c r="G1" s="621"/>
      <c r="H1" s="622"/>
      <c r="I1" s="509"/>
      <c r="J1" s="568"/>
      <c r="K1" s="631" t="s">
        <v>340</v>
      </c>
      <c r="L1" s="631"/>
      <c r="M1" s="631"/>
      <c r="N1" s="631"/>
      <c r="O1" s="632"/>
      <c r="P1" s="342"/>
    </row>
    <row r="2" spans="1:16" ht="15.5" x14ac:dyDescent="0.35">
      <c r="A2" s="635" t="s">
        <v>311</v>
      </c>
      <c r="B2" s="636"/>
      <c r="C2" s="636"/>
      <c r="D2" s="636"/>
      <c r="E2" s="636"/>
      <c r="F2" s="636"/>
      <c r="G2" s="636"/>
      <c r="H2" s="637"/>
      <c r="I2" s="510"/>
      <c r="J2" s="568"/>
      <c r="K2" s="631" t="s">
        <v>311</v>
      </c>
      <c r="L2" s="631"/>
      <c r="M2" s="631"/>
      <c r="N2" s="631"/>
      <c r="O2" s="632"/>
    </row>
    <row r="3" spans="1:16" ht="18.75" customHeight="1" x14ac:dyDescent="0.35">
      <c r="A3" s="635" t="s">
        <v>268</v>
      </c>
      <c r="B3" s="636"/>
      <c r="C3" s="636"/>
      <c r="D3" s="636"/>
      <c r="E3" s="636"/>
      <c r="F3" s="636"/>
      <c r="G3" s="636"/>
      <c r="H3" s="637"/>
      <c r="I3" s="510"/>
      <c r="J3" s="568"/>
      <c r="K3" s="631" t="s">
        <v>268</v>
      </c>
      <c r="L3" s="631"/>
      <c r="M3" s="631"/>
      <c r="N3" s="631"/>
      <c r="O3" s="632"/>
    </row>
    <row r="4" spans="1:16" ht="15.5" x14ac:dyDescent="0.35">
      <c r="A4" s="623" t="s">
        <v>328</v>
      </c>
      <c r="B4" s="624"/>
      <c r="C4" s="624"/>
      <c r="D4" s="624"/>
      <c r="E4" s="624"/>
      <c r="F4" s="624"/>
      <c r="G4" s="624"/>
      <c r="H4" s="625"/>
      <c r="I4" s="511"/>
      <c r="J4" s="568"/>
      <c r="K4" s="633" t="s">
        <v>333</v>
      </c>
      <c r="L4" s="633"/>
      <c r="M4" s="633"/>
      <c r="N4" s="633"/>
      <c r="O4" s="634"/>
    </row>
    <row r="5" spans="1:16" ht="34.5" customHeight="1" x14ac:dyDescent="0.35">
      <c r="A5" s="474" t="s">
        <v>39</v>
      </c>
      <c r="B5" s="53"/>
      <c r="C5" s="53"/>
      <c r="D5" s="53"/>
      <c r="E5" s="475" t="s">
        <v>341</v>
      </c>
      <c r="F5" s="475" t="s">
        <v>342</v>
      </c>
      <c r="G5" s="476"/>
      <c r="H5" s="73" t="s">
        <v>20</v>
      </c>
      <c r="I5" s="512" t="s">
        <v>213</v>
      </c>
      <c r="J5" s="568"/>
      <c r="K5" s="520" t="str">
        <f t="shared" ref="K5:K11" si="0">A5</f>
        <v>Projected Income</v>
      </c>
      <c r="L5" s="521"/>
      <c r="M5" s="522" t="str">
        <f>E5</f>
        <v xml:space="preserve">Qty       (lbs.) </v>
      </c>
      <c r="N5" s="522" t="str">
        <f>F5</f>
        <v>Price      ($/lb.)</v>
      </c>
      <c r="O5" s="523" t="str">
        <f>H5</f>
        <v>Total</v>
      </c>
    </row>
    <row r="6" spans="1:16" ht="15.5" x14ac:dyDescent="0.35">
      <c r="A6" s="477" t="s">
        <v>228</v>
      </c>
      <c r="B6" s="478">
        <f>'Producer Input'!F10</f>
        <v>0.9</v>
      </c>
      <c r="C6" s="53" t="s">
        <v>229</v>
      </c>
      <c r="D6" s="53"/>
      <c r="E6" s="479">
        <f>'Producer Input'!F11</f>
        <v>31363.200000000001</v>
      </c>
      <c r="F6" s="480">
        <f>'Producer Input'!F12</f>
        <v>0.38</v>
      </c>
      <c r="G6" s="481"/>
      <c r="H6" s="460">
        <f>'Producer Input'!F13</f>
        <v>11918.016</v>
      </c>
      <c r="I6" s="517"/>
      <c r="J6" s="568"/>
      <c r="K6" s="524" t="str">
        <f t="shared" si="0"/>
        <v>Apples Fancy Grade or Better</v>
      </c>
      <c r="L6" s="525">
        <f>'Producer Input'!G10</f>
        <v>0.9</v>
      </c>
      <c r="M6" s="526">
        <f>'Producer Input'!G11</f>
        <v>31363.200000000001</v>
      </c>
      <c r="N6" s="527">
        <f>'Producer Input'!G12</f>
        <v>0.38</v>
      </c>
      <c r="O6" s="528">
        <f>'Producer Input'!G13</f>
        <v>11918.016</v>
      </c>
    </row>
    <row r="7" spans="1:16" ht="15.5" x14ac:dyDescent="0.35">
      <c r="A7" s="482" t="s">
        <v>269</v>
      </c>
      <c r="B7" s="53"/>
      <c r="C7" s="53"/>
      <c r="D7" s="53"/>
      <c r="E7" s="483"/>
      <c r="F7" s="57"/>
      <c r="G7" s="414"/>
      <c r="H7" s="57"/>
      <c r="I7" s="513"/>
      <c r="J7" s="513"/>
      <c r="K7" s="521" t="str">
        <f t="shared" si="0"/>
        <v>Direct Expenses</v>
      </c>
      <c r="L7" s="529"/>
      <c r="M7" s="529"/>
      <c r="N7" s="530"/>
      <c r="O7" s="531"/>
    </row>
    <row r="8" spans="1:16" ht="15.5" x14ac:dyDescent="0.35">
      <c r="A8" s="430" t="s">
        <v>399</v>
      </c>
      <c r="B8" s="140"/>
      <c r="C8" s="412"/>
      <c r="D8" s="412"/>
      <c r="E8" s="54"/>
      <c r="F8" s="57"/>
      <c r="G8" s="54"/>
      <c r="H8" s="461">
        <f>'Producer Input'!F14+'Producer Input'!F15+'Producer Input'!F16</f>
        <v>181.27600000000001</v>
      </c>
      <c r="I8" s="517"/>
      <c r="J8" s="568"/>
      <c r="K8" s="535" t="str">
        <f t="shared" si="0"/>
        <v>Fertilizer</v>
      </c>
      <c r="L8" s="529"/>
      <c r="M8" s="533"/>
      <c r="N8" s="534"/>
      <c r="O8" s="536">
        <f>'Producer Input'!G14+'Producer Input'!G15+'Producer Input'!G16</f>
        <v>181.27600000000001</v>
      </c>
    </row>
    <row r="9" spans="1:16" ht="15.5" x14ac:dyDescent="0.35">
      <c r="A9" s="484" t="s">
        <v>400</v>
      </c>
      <c r="B9" s="71"/>
      <c r="C9" s="412"/>
      <c r="D9" s="412"/>
      <c r="E9" s="413"/>
      <c r="F9" s="413"/>
      <c r="G9" s="414"/>
      <c r="H9" s="461">
        <f>'Producer Input'!F17+'Producer Input'!F17</f>
        <v>514.03400000000011</v>
      </c>
      <c r="I9" s="517"/>
      <c r="J9" s="568"/>
      <c r="K9" s="537" t="str">
        <f t="shared" si="0"/>
        <v>Sprays</v>
      </c>
      <c r="L9" s="529"/>
      <c r="M9" s="533"/>
      <c r="N9" s="534"/>
      <c r="O9" s="536">
        <f>'Producer Input'!G17+'Producer Input'!G17</f>
        <v>514.03400000000011</v>
      </c>
    </row>
    <row r="10" spans="1:16" ht="15.5" x14ac:dyDescent="0.35">
      <c r="A10" s="486" t="s">
        <v>44</v>
      </c>
      <c r="B10" s="459"/>
      <c r="C10" s="53"/>
      <c r="D10" s="459" t="s">
        <v>313</v>
      </c>
      <c r="E10" s="487" t="s">
        <v>314</v>
      </c>
      <c r="F10" s="488" t="s">
        <v>45</v>
      </c>
      <c r="G10" s="55"/>
      <c r="H10" s="53"/>
      <c r="I10" s="515"/>
      <c r="J10" s="569"/>
      <c r="K10" s="532" t="str">
        <f t="shared" si="0"/>
        <v>Production Labour</v>
      </c>
      <c r="L10" s="529"/>
      <c r="M10" s="533"/>
      <c r="N10" s="534"/>
      <c r="O10" s="536"/>
    </row>
    <row r="11" spans="1:16" ht="15.5" x14ac:dyDescent="0.35">
      <c r="A11" s="19" t="s">
        <v>301</v>
      </c>
      <c r="B11" s="53"/>
      <c r="C11" s="53"/>
      <c r="D11" s="53"/>
      <c r="E11" s="489">
        <f>'Producer Input'!F23</f>
        <v>17.05</v>
      </c>
      <c r="F11" s="490">
        <f>'Producer Input'!F22</f>
        <v>15.8</v>
      </c>
      <c r="G11" s="55"/>
      <c r="H11" s="461">
        <f>'Producer Input'!F24</f>
        <v>269.39000000000004</v>
      </c>
      <c r="I11" s="517"/>
      <c r="J11" s="569"/>
      <c r="K11" s="537" t="str">
        <f t="shared" si="0"/>
        <v>Field Equip Operating Labour</v>
      </c>
      <c r="L11" s="529"/>
      <c r="M11" s="533"/>
      <c r="N11" s="534"/>
      <c r="O11" s="536">
        <f>'Producer Input'!G25</f>
        <v>269.39000000000004</v>
      </c>
    </row>
    <row r="12" spans="1:16" ht="15.5" x14ac:dyDescent="0.35">
      <c r="A12" s="19" t="s">
        <v>248</v>
      </c>
      <c r="B12" s="53"/>
      <c r="C12" s="53"/>
      <c r="D12" s="53"/>
      <c r="E12" s="489">
        <f>'Producer Input'!F27</f>
        <v>2</v>
      </c>
      <c r="F12" s="490">
        <f>'Producer Input'!F26</f>
        <v>15.8</v>
      </c>
      <c r="G12" s="55"/>
      <c r="H12" s="461">
        <f>'Producer Input'!F28</f>
        <v>31.6</v>
      </c>
      <c r="I12" s="517"/>
      <c r="J12" s="569"/>
      <c r="K12" s="537" t="str">
        <f t="shared" ref="K12:K25" si="1">A12</f>
        <v>Hand Hoeing</v>
      </c>
      <c r="L12" s="529"/>
      <c r="M12" s="533"/>
      <c r="N12" s="534"/>
      <c r="O12" s="536">
        <f>'Producer Input'!G29</f>
        <v>31.6</v>
      </c>
    </row>
    <row r="13" spans="1:16" ht="15.5" x14ac:dyDescent="0.35">
      <c r="A13" s="19" t="s">
        <v>207</v>
      </c>
      <c r="B13" s="491"/>
      <c r="C13" s="53"/>
      <c r="D13" s="489">
        <v>2</v>
      </c>
      <c r="E13" s="489">
        <f>'Producer Input'!F32</f>
        <v>72.599999999999994</v>
      </c>
      <c r="F13" s="492">
        <f>'Producer Input'!F30</f>
        <v>15.8</v>
      </c>
      <c r="G13" s="55"/>
      <c r="H13" s="461">
        <f>'Producer Input'!F33</f>
        <v>1147.08</v>
      </c>
      <c r="I13" s="517"/>
      <c r="J13" s="569"/>
      <c r="K13" s="537" t="str">
        <f t="shared" si="1"/>
        <v>Pruning &amp; Training</v>
      </c>
      <c r="L13" s="529"/>
      <c r="M13" s="533"/>
      <c r="N13" s="534"/>
      <c r="O13" s="536">
        <f>'Producer Input'!G34</f>
        <v>1147.08</v>
      </c>
    </row>
    <row r="14" spans="1:16" ht="15.5" x14ac:dyDescent="0.35">
      <c r="A14" s="19" t="s">
        <v>206</v>
      </c>
      <c r="B14" s="53"/>
      <c r="C14" s="53"/>
      <c r="D14" s="53"/>
      <c r="E14" s="489">
        <f>'Producer Input'!F36</f>
        <v>45</v>
      </c>
      <c r="F14" s="490">
        <f>'Producer Input'!F35</f>
        <v>15.8</v>
      </c>
      <c r="G14" s="55"/>
      <c r="H14" s="461">
        <f>'Producer Input'!F37</f>
        <v>711</v>
      </c>
      <c r="I14" s="517"/>
      <c r="J14" s="569"/>
      <c r="K14" s="537" t="str">
        <f t="shared" si="1"/>
        <v>Hand Thinning</v>
      </c>
      <c r="L14" s="529"/>
      <c r="M14" s="533"/>
      <c r="N14" s="534"/>
      <c r="O14" s="536">
        <f>'Producer Input'!G38</f>
        <v>711</v>
      </c>
      <c r="P14" s="615"/>
    </row>
    <row r="15" spans="1:16" ht="15.5" x14ac:dyDescent="0.35">
      <c r="A15" s="485" t="s">
        <v>280</v>
      </c>
      <c r="B15" s="53"/>
      <c r="C15" s="53"/>
      <c r="D15" s="53"/>
      <c r="E15" s="493"/>
      <c r="F15" s="494"/>
      <c r="G15" s="55"/>
      <c r="H15" s="461">
        <f>'Producer Input'!F40</f>
        <v>456.77215049099351</v>
      </c>
      <c r="I15" s="517"/>
      <c r="J15" s="569"/>
      <c r="K15" s="532" t="str">
        <f t="shared" si="1"/>
        <v>Equipment Operating &amp; Repair</v>
      </c>
      <c r="L15" s="529"/>
      <c r="M15" s="533"/>
      <c r="N15" s="534"/>
      <c r="O15" s="536">
        <f>'Producer Input'!G40</f>
        <v>456.77215049099351</v>
      </c>
    </row>
    <row r="16" spans="1:16" ht="17" x14ac:dyDescent="0.5">
      <c r="A16" s="486" t="s">
        <v>266</v>
      </c>
      <c r="B16" s="53"/>
      <c r="C16" s="53"/>
      <c r="D16" s="495" t="s">
        <v>252</v>
      </c>
      <c r="E16" s="496" t="s">
        <v>297</v>
      </c>
      <c r="F16" s="497" t="s">
        <v>45</v>
      </c>
      <c r="G16" s="55"/>
      <c r="H16" s="53"/>
      <c r="I16" s="514"/>
      <c r="J16" s="569"/>
      <c r="K16" s="532" t="str">
        <f t="shared" si="1"/>
        <v>Harvesting</v>
      </c>
      <c r="L16" s="529"/>
      <c r="M16" s="533"/>
      <c r="N16" s="534"/>
      <c r="O16" s="536"/>
    </row>
    <row r="17" spans="1:16" ht="15.5" x14ac:dyDescent="0.35">
      <c r="A17" s="411" t="s">
        <v>411</v>
      </c>
      <c r="B17" s="53"/>
      <c r="C17" s="53"/>
      <c r="D17" s="494">
        <f>'Producer Input'!F9</f>
        <v>44</v>
      </c>
      <c r="E17" s="498">
        <f>'Producer Input'!F41</f>
        <v>23.33</v>
      </c>
      <c r="F17" s="53"/>
      <c r="G17" s="55"/>
      <c r="H17" s="461">
        <f>'Producer Input'!F43</f>
        <v>1026.52</v>
      </c>
      <c r="I17" s="517"/>
      <c r="J17" s="569"/>
      <c r="K17" s="537" t="str">
        <f t="shared" si="1"/>
        <v>Contract Picking</v>
      </c>
      <c r="L17" s="529"/>
      <c r="M17" s="533"/>
      <c r="N17" s="534"/>
      <c r="O17" s="536">
        <f>'Producer Input'!G44</f>
        <v>1026.52</v>
      </c>
    </row>
    <row r="18" spans="1:16" ht="15.5" x14ac:dyDescent="0.35">
      <c r="A18" s="411" t="s">
        <v>305</v>
      </c>
      <c r="B18" s="53"/>
      <c r="C18" s="53"/>
      <c r="D18" s="494">
        <f>D19</f>
        <v>44</v>
      </c>
      <c r="E18" s="498">
        <f>'Producer Input'!F45+'Producer Input'!F46</f>
        <v>7.6199999999999992</v>
      </c>
      <c r="F18" s="53"/>
      <c r="G18" s="55"/>
      <c r="H18" s="461">
        <f>'Producer Input'!F48</f>
        <v>335.28</v>
      </c>
      <c r="I18" s="517"/>
      <c r="J18" s="569"/>
      <c r="K18" s="537" t="str">
        <f t="shared" si="1"/>
        <v>Bin Hauling (Contracted)</v>
      </c>
      <c r="L18" s="529"/>
      <c r="M18" s="533"/>
      <c r="N18" s="534"/>
      <c r="O18" s="536">
        <f>'Producer Input'!G49</f>
        <v>335.28</v>
      </c>
    </row>
    <row r="19" spans="1:16" ht="15.5" x14ac:dyDescent="0.35">
      <c r="A19" s="411" t="s">
        <v>295</v>
      </c>
      <c r="B19" s="53"/>
      <c r="C19" s="53"/>
      <c r="D19" s="494">
        <f>D17</f>
        <v>44</v>
      </c>
      <c r="E19" s="498"/>
      <c r="F19" s="490">
        <f>'Producer Input'!F50</f>
        <v>15.8</v>
      </c>
      <c r="G19" s="55"/>
      <c r="H19" s="461">
        <f>'Producer Input'!F53</f>
        <v>69.52000000000001</v>
      </c>
      <c r="I19" s="517"/>
      <c r="J19" s="569"/>
      <c r="K19" s="537" t="str">
        <f t="shared" si="1"/>
        <v>Bin Yarding Labour</v>
      </c>
      <c r="L19" s="529"/>
      <c r="M19" s="533"/>
      <c r="N19" s="534"/>
      <c r="O19" s="536">
        <f>'Producer Input'!G54</f>
        <v>69.52000000000001</v>
      </c>
      <c r="P19" s="615"/>
    </row>
    <row r="20" spans="1:16" s="25" customFormat="1" ht="15.5" x14ac:dyDescent="0.35">
      <c r="A20" s="485" t="s">
        <v>281</v>
      </c>
      <c r="B20" s="459"/>
      <c r="C20" s="459"/>
      <c r="D20" s="459"/>
      <c r="E20" s="499"/>
      <c r="F20" s="500"/>
      <c r="G20" s="501"/>
      <c r="H20" s="459"/>
      <c r="I20" s="516"/>
      <c r="J20" s="570"/>
      <c r="K20" s="532" t="str">
        <f t="shared" si="1"/>
        <v>Other Expenses</v>
      </c>
      <c r="L20" s="529"/>
      <c r="M20" s="533"/>
      <c r="N20" s="534"/>
      <c r="O20" s="536"/>
    </row>
    <row r="21" spans="1:16" ht="15.5" x14ac:dyDescent="0.35">
      <c r="A21" s="477" t="s">
        <v>156</v>
      </c>
      <c r="B21" s="53"/>
      <c r="C21" s="53"/>
      <c r="D21" s="53"/>
      <c r="E21" s="502"/>
      <c r="F21" s="503"/>
      <c r="G21" s="55"/>
      <c r="H21" s="461">
        <f>'Producer Input'!F55</f>
        <v>256</v>
      </c>
      <c r="I21" s="517"/>
      <c r="J21" s="569"/>
      <c r="K21" s="537" t="str">
        <f t="shared" si="1"/>
        <v>Irrigation</v>
      </c>
      <c r="L21" s="529"/>
      <c r="M21" s="533"/>
      <c r="N21" s="534"/>
      <c r="O21" s="536">
        <f>'Producer Input'!G55</f>
        <v>256</v>
      </c>
    </row>
    <row r="22" spans="1:16" ht="15.5" x14ac:dyDescent="0.35">
      <c r="A22" s="19" t="s">
        <v>113</v>
      </c>
      <c r="B22" s="53"/>
      <c r="C22" s="53"/>
      <c r="D22" s="53"/>
      <c r="E22" s="502"/>
      <c r="F22" s="503"/>
      <c r="G22" s="55"/>
      <c r="H22" s="461">
        <f>'Producer Input'!F56</f>
        <v>85</v>
      </c>
      <c r="I22" s="517"/>
      <c r="J22" s="569"/>
      <c r="K22" s="537" t="str">
        <f t="shared" si="1"/>
        <v>Pollination</v>
      </c>
      <c r="L22" s="529"/>
      <c r="M22" s="533"/>
      <c r="N22" s="534"/>
      <c r="O22" s="536">
        <f>'Producer Input'!G56</f>
        <v>85</v>
      </c>
    </row>
    <row r="23" spans="1:16" ht="15.5" x14ac:dyDescent="0.35">
      <c r="A23" s="19" t="s">
        <v>119</v>
      </c>
      <c r="B23" s="53"/>
      <c r="C23" s="53"/>
      <c r="D23" s="53"/>
      <c r="E23" s="502"/>
      <c r="F23" s="503"/>
      <c r="G23" s="55"/>
      <c r="H23" s="461">
        <f>'Producer Input'!F57</f>
        <v>139</v>
      </c>
      <c r="I23" s="517"/>
      <c r="J23" s="569"/>
      <c r="K23" s="537" t="str">
        <f t="shared" si="1"/>
        <v>SIR Tax/Pest Monitor/Prod'n Insurance</v>
      </c>
      <c r="L23" s="529"/>
      <c r="M23" s="533"/>
      <c r="N23" s="534"/>
      <c r="O23" s="536">
        <f>'Producer Input'!G57</f>
        <v>139</v>
      </c>
    </row>
    <row r="24" spans="1:16" ht="15.5" x14ac:dyDescent="0.35">
      <c r="A24" s="477" t="s">
        <v>306</v>
      </c>
      <c r="B24" s="459"/>
      <c r="C24" s="53"/>
      <c r="D24" s="53"/>
      <c r="E24" s="504"/>
      <c r="F24" s="64"/>
      <c r="G24" s="56"/>
      <c r="H24" s="461">
        <f>'Producer Input'!F58</f>
        <v>0</v>
      </c>
      <c r="I24" s="517"/>
      <c r="J24" s="569"/>
      <c r="K24" s="537" t="str">
        <f t="shared" si="1"/>
        <v>Picking Bags</v>
      </c>
      <c r="L24" s="529"/>
      <c r="M24" s="533"/>
      <c r="N24" s="534"/>
      <c r="O24" s="536">
        <f>'Producer Input'!G58</f>
        <v>0</v>
      </c>
    </row>
    <row r="25" spans="1:16" ht="15.5" x14ac:dyDescent="0.35">
      <c r="A25" s="505" t="s">
        <v>120</v>
      </c>
      <c r="B25" s="106"/>
      <c r="C25" s="265"/>
      <c r="D25" s="265"/>
      <c r="E25" s="471"/>
      <c r="F25" s="265"/>
      <c r="G25" s="472"/>
      <c r="H25" s="473">
        <f>'Producer Input'!F59</f>
        <v>0</v>
      </c>
      <c r="I25" s="517"/>
      <c r="J25" s="568"/>
      <c r="K25" s="537" t="str">
        <f t="shared" si="1"/>
        <v>Miscellaneous Expenses</v>
      </c>
      <c r="L25" s="529"/>
      <c r="M25" s="533"/>
      <c r="N25" s="534"/>
      <c r="O25" s="536">
        <f>'Producer Input'!G59</f>
        <v>0</v>
      </c>
    </row>
    <row r="26" spans="1:16" ht="15.5" x14ac:dyDescent="0.35">
      <c r="A26" s="506" t="s">
        <v>41</v>
      </c>
      <c r="B26" s="134"/>
      <c r="C26" s="53"/>
      <c r="D26" s="53"/>
      <c r="E26" s="134"/>
      <c r="F26" s="134"/>
      <c r="G26" s="134"/>
      <c r="H26" s="507">
        <f>SUM(H8:H25)</f>
        <v>5222.472150490994</v>
      </c>
      <c r="I26" s="518"/>
      <c r="J26" s="568"/>
      <c r="K26" s="538" t="str">
        <f>A26</f>
        <v>Total Direct Expenses</v>
      </c>
      <c r="L26" s="538"/>
      <c r="M26" s="539"/>
      <c r="N26" s="540"/>
      <c r="O26" s="541">
        <f>SUM(O8:O25)</f>
        <v>5222.472150490994</v>
      </c>
    </row>
    <row r="27" spans="1:16" ht="16" thickBot="1" x14ac:dyDescent="0.4">
      <c r="A27" s="427" t="s">
        <v>42</v>
      </c>
      <c r="B27" s="105"/>
      <c r="C27" s="53"/>
      <c r="D27" s="53"/>
      <c r="E27" s="105"/>
      <c r="F27" s="105"/>
      <c r="G27" s="105"/>
      <c r="H27" s="470">
        <f>H6-H26</f>
        <v>6695.5438495090057</v>
      </c>
      <c r="I27" s="519"/>
      <c r="J27" s="568"/>
      <c r="K27" s="607" t="str">
        <f>A27</f>
        <v>Contribution Margin</v>
      </c>
      <c r="L27" s="607"/>
      <c r="M27" s="608"/>
      <c r="N27" s="609"/>
      <c r="O27" s="610">
        <f>O6-O26</f>
        <v>6695.5438495090057</v>
      </c>
    </row>
    <row r="28" spans="1:16" ht="18.5" thickTop="1" x14ac:dyDescent="0.35">
      <c r="B28" s="53"/>
      <c r="C28" s="53"/>
      <c r="D28" s="53"/>
      <c r="E28" s="53"/>
      <c r="F28" s="53"/>
      <c r="G28" s="55"/>
      <c r="H28" s="53"/>
      <c r="I28" s="606"/>
      <c r="J28" s="71"/>
      <c r="K28" s="613" t="s">
        <v>386</v>
      </c>
      <c r="L28" s="450"/>
      <c r="M28" s="450"/>
      <c r="N28" s="450"/>
      <c r="O28" s="611"/>
    </row>
    <row r="29" spans="1:16" ht="15.5" x14ac:dyDescent="0.35">
      <c r="B29" s="53"/>
      <c r="C29" s="53"/>
      <c r="D29" s="53"/>
      <c r="E29" s="53"/>
      <c r="F29" s="53"/>
      <c r="G29" s="55"/>
      <c r="H29" s="53"/>
      <c r="I29" s="71"/>
      <c r="J29" s="71"/>
      <c r="K29" s="612" t="s">
        <v>395</v>
      </c>
      <c r="L29" s="77"/>
      <c r="M29" s="77"/>
      <c r="N29" s="77"/>
      <c r="O29" s="600"/>
    </row>
    <row r="30" spans="1:16" ht="15.5" x14ac:dyDescent="0.35">
      <c r="B30" s="53"/>
      <c r="C30" s="53"/>
      <c r="D30" s="53"/>
      <c r="E30" s="53"/>
      <c r="F30" s="53"/>
      <c r="G30" s="55"/>
      <c r="H30" s="53"/>
      <c r="I30" s="71"/>
      <c r="J30" s="71"/>
      <c r="K30" s="612" t="s">
        <v>396</v>
      </c>
      <c r="L30" s="77"/>
      <c r="M30" s="77"/>
      <c r="N30" s="77"/>
      <c r="O30" s="600"/>
    </row>
    <row r="31" spans="1:16" ht="15.5" x14ac:dyDescent="0.35">
      <c r="B31" s="53"/>
      <c r="C31" s="53"/>
      <c r="D31" s="53"/>
      <c r="E31" s="53"/>
      <c r="F31" s="53"/>
      <c r="G31" s="55"/>
      <c r="H31" s="53"/>
      <c r="I31" s="53"/>
      <c r="J31" s="71"/>
      <c r="K31" s="612" t="s">
        <v>421</v>
      </c>
      <c r="L31" s="77"/>
      <c r="M31" s="77"/>
      <c r="N31" s="77"/>
      <c r="O31" s="600"/>
    </row>
    <row r="32" spans="1:16" ht="15.5" x14ac:dyDescent="0.35">
      <c r="B32" s="53"/>
      <c r="C32" s="53"/>
      <c r="D32" s="53"/>
      <c r="E32" s="53"/>
      <c r="F32" s="53"/>
      <c r="G32" s="55"/>
      <c r="H32" s="53"/>
      <c r="I32" s="53"/>
      <c r="J32" s="71"/>
      <c r="K32" s="612" t="s">
        <v>397</v>
      </c>
      <c r="L32" s="77"/>
      <c r="M32" s="77"/>
      <c r="N32" s="77"/>
      <c r="O32" s="600"/>
    </row>
    <row r="33" spans="1:15" ht="15.5" x14ac:dyDescent="0.35">
      <c r="B33" s="53"/>
      <c r="C33" s="53"/>
      <c r="D33" s="53"/>
      <c r="E33" s="53"/>
      <c r="F33" s="53"/>
      <c r="G33" s="55"/>
      <c r="H33" s="53"/>
      <c r="I33" s="53"/>
      <c r="J33" s="71"/>
      <c r="K33" s="612" t="s">
        <v>398</v>
      </c>
      <c r="L33" s="77"/>
      <c r="M33" s="77"/>
      <c r="N33" s="77"/>
      <c r="O33" s="600"/>
    </row>
    <row r="34" spans="1:15" x14ac:dyDescent="0.35">
      <c r="A34" s="134"/>
      <c r="B34" s="53"/>
      <c r="C34" s="53"/>
      <c r="D34" s="53"/>
      <c r="E34" s="53"/>
      <c r="F34" s="53"/>
      <c r="G34" s="55"/>
      <c r="H34" s="53"/>
      <c r="I34" s="53"/>
      <c r="J34" s="71"/>
      <c r="K34" s="604" t="s">
        <v>42</v>
      </c>
      <c r="L34" s="450"/>
      <c r="M34" s="450"/>
      <c r="N34" s="450"/>
      <c r="O34" s="598">
        <f>O27</f>
        <v>6695.5438495090057</v>
      </c>
    </row>
    <row r="35" spans="1:15" x14ac:dyDescent="0.35">
      <c r="A35" s="134"/>
      <c r="B35" s="53"/>
      <c r="C35" s="53"/>
      <c r="D35" s="53"/>
      <c r="E35" s="53"/>
      <c r="F35" s="53"/>
      <c r="G35" s="55"/>
      <c r="H35" s="53"/>
      <c r="I35" s="53"/>
      <c r="J35" s="71"/>
      <c r="K35" s="605" t="s">
        <v>387</v>
      </c>
      <c r="L35" s="77"/>
      <c r="M35" s="77"/>
      <c r="N35" s="77"/>
      <c r="O35" s="599"/>
    </row>
    <row r="36" spans="1:15" x14ac:dyDescent="0.35">
      <c r="A36" s="134"/>
      <c r="B36" s="53"/>
      <c r="C36" s="53"/>
      <c r="D36" s="53"/>
      <c r="E36" s="53"/>
      <c r="F36" s="53"/>
      <c r="G36" s="55"/>
      <c r="H36" s="53"/>
      <c r="I36" s="53"/>
      <c r="J36" s="71"/>
      <c r="K36" s="605" t="s">
        <v>390</v>
      </c>
      <c r="L36" s="77"/>
      <c r="M36" s="77"/>
      <c r="N36" s="77"/>
      <c r="O36" s="614">
        <f>'Producer Input'!G61</f>
        <v>0</v>
      </c>
    </row>
    <row r="37" spans="1:15" x14ac:dyDescent="0.35">
      <c r="A37" s="134"/>
      <c r="B37" s="53"/>
      <c r="C37" s="53"/>
      <c r="D37" s="53"/>
      <c r="E37" s="53"/>
      <c r="F37" s="53"/>
      <c r="G37" s="55"/>
      <c r="H37" s="53"/>
      <c r="I37" s="53"/>
      <c r="J37" s="71"/>
      <c r="K37" s="605" t="s">
        <v>393</v>
      </c>
      <c r="L37" s="77"/>
      <c r="M37" s="77"/>
      <c r="N37" s="77"/>
      <c r="O37" s="614">
        <f>'Producer Input'!G62</f>
        <v>0</v>
      </c>
    </row>
    <row r="38" spans="1:15" x14ac:dyDescent="0.35">
      <c r="A38" s="134"/>
      <c r="B38" s="53"/>
      <c r="C38" s="53"/>
      <c r="D38" s="53"/>
      <c r="E38" s="53"/>
      <c r="F38" s="53"/>
      <c r="G38" s="55"/>
      <c r="H38" s="53"/>
      <c r="I38" s="53"/>
      <c r="J38" s="71"/>
      <c r="K38" s="605" t="s">
        <v>394</v>
      </c>
      <c r="L38" s="77"/>
      <c r="M38" s="77"/>
      <c r="N38" s="77"/>
      <c r="O38" s="614">
        <f>'Producer Input'!G63</f>
        <v>0</v>
      </c>
    </row>
    <row r="39" spans="1:15" ht="16" thickBot="1" x14ac:dyDescent="0.4">
      <c r="A39" s="134"/>
      <c r="B39" s="53"/>
      <c r="C39" s="53"/>
      <c r="D39" s="53"/>
      <c r="E39" s="53"/>
      <c r="F39" s="53"/>
      <c r="G39" s="55"/>
      <c r="H39" s="53"/>
      <c r="I39" s="53"/>
      <c r="J39" s="71"/>
      <c r="K39" s="602" t="s">
        <v>388</v>
      </c>
      <c r="L39" s="601"/>
      <c r="M39" s="601"/>
      <c r="N39" s="601"/>
      <c r="O39" s="603">
        <f>IF(O36+O37+O38=0,0,O34-(O36+O37+O38))</f>
        <v>0</v>
      </c>
    </row>
    <row r="40" spans="1:15" ht="15" thickTop="1" x14ac:dyDescent="0.35">
      <c r="A40" s="53"/>
      <c r="B40" s="53"/>
      <c r="C40" s="53"/>
      <c r="D40" s="53"/>
      <c r="E40" s="53"/>
      <c r="F40" s="53"/>
      <c r="G40" s="55"/>
      <c r="H40" s="53"/>
      <c r="I40" s="53"/>
      <c r="J40" s="71"/>
    </row>
  </sheetData>
  <sheetProtection algorithmName="SHA-512" hashValue="1Rh4DR73P8tE+MpXZMMreZdAEstXM/MD10kzTxP6A5XtLeBuG8dQBJj67Jz9doppb30LC40WyrNcdFqD85PM4w==" saltValue="wSYyL1gr5tRHY5xF+F224w==" spinCount="100000" sheet="1" formatCells="0" formatColumns="0" formatRows="0" insertColumns="0" insertRows="0" deleteColumns="0" deleteRows="0"/>
  <mergeCells count="8">
    <mergeCell ref="K2:O2"/>
    <mergeCell ref="K3:O3"/>
    <mergeCell ref="K4:O4"/>
    <mergeCell ref="K1:O1"/>
    <mergeCell ref="A2:H2"/>
    <mergeCell ref="A3:H3"/>
    <mergeCell ref="A4:H4"/>
    <mergeCell ref="A1:H1"/>
  </mergeCells>
  <printOptions headings="1" gridLines="1"/>
  <pageMargins left="0.70866141732283472" right="0.70866141732283472" top="0.74803149606299213" bottom="0.74803149606299213" header="0.31496062992125984" footer="0.31496062992125984"/>
  <pageSetup scale="78" orientation="landscape" r:id="rId1"/>
  <headerFooter>
    <oddHeader>&amp;L&amp;A&amp;R&amp;N</oddHeader>
    <oddFooter>&amp;R&amp;Z&amp;F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'Fert &amp; Micro Nutrients Table'!$M$4:$M$13</xm:f>
          </x14:formula1>
          <xm:sqref>B8</xm:sqref>
        </x14:dataValidation>
        <x14:dataValidation type="list" allowBlank="1" showInputMessage="1" showErrorMessage="1" xr:uid="{00000000-0002-0000-0300-000001000000}">
          <x14:formula1>
            <xm:f>'Chem Data Table'!$N$5:$N$22</xm:f>
          </x14:formula1>
          <xm:sqref>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9"/>
  <sheetViews>
    <sheetView zoomScale="82" zoomScaleNormal="82" workbookViewId="0">
      <pane xSplit="14" ySplit="18" topLeftCell="O19" activePane="bottomRight" state="frozen"/>
      <selection pane="topRight" activeCell="O1" sqref="O1"/>
      <selection pane="bottomLeft" activeCell="A19" sqref="A19"/>
      <selection pane="bottomRight" activeCell="D5" sqref="D5"/>
    </sheetView>
  </sheetViews>
  <sheetFormatPr defaultRowHeight="14.5" x14ac:dyDescent="0.35"/>
  <cols>
    <col min="1" max="1" width="5.81640625" customWidth="1"/>
    <col min="2" max="2" width="10.26953125" customWidth="1"/>
    <col min="3" max="3" width="9.453125" customWidth="1"/>
    <col min="4" max="4" width="8.54296875" bestFit="1" customWidth="1"/>
    <col min="5" max="5" width="11.453125" customWidth="1"/>
    <col min="6" max="7" width="9.81640625" bestFit="1" customWidth="1"/>
    <col min="9" max="9" width="9.81640625" customWidth="1"/>
    <col min="10" max="10" width="11.7265625" bestFit="1" customWidth="1"/>
    <col min="11" max="11" width="11.54296875" customWidth="1"/>
    <col min="12" max="12" width="10.26953125" customWidth="1"/>
    <col min="13" max="14" width="9.54296875" bestFit="1" customWidth="1"/>
  </cols>
  <sheetData>
    <row r="1" spans="1:14" ht="63.75" customHeight="1" x14ac:dyDescent="0.35">
      <c r="B1" s="641" t="s">
        <v>160</v>
      </c>
      <c r="C1" s="641"/>
      <c r="D1" s="641"/>
      <c r="E1" s="641"/>
      <c r="F1" s="641"/>
      <c r="G1" s="641"/>
      <c r="I1" s="641" t="s">
        <v>160</v>
      </c>
      <c r="J1" s="641"/>
      <c r="K1" s="641"/>
      <c r="L1" s="641"/>
      <c r="M1" s="641"/>
      <c r="N1" s="641"/>
    </row>
    <row r="2" spans="1:14" ht="17.5" x14ac:dyDescent="0.35">
      <c r="B2" s="644" t="s">
        <v>328</v>
      </c>
      <c r="C2" s="645"/>
      <c r="D2" s="645"/>
      <c r="E2" s="645"/>
      <c r="F2" s="645"/>
      <c r="G2" s="646"/>
      <c r="I2" s="644" t="s">
        <v>333</v>
      </c>
      <c r="J2" s="645"/>
      <c r="K2" s="645"/>
      <c r="L2" s="645"/>
      <c r="M2" s="645"/>
      <c r="N2" s="646"/>
    </row>
    <row r="3" spans="1:14" ht="15" customHeight="1" x14ac:dyDescent="0.35">
      <c r="B3" s="642" t="s">
        <v>409</v>
      </c>
      <c r="C3" s="639" t="s">
        <v>410</v>
      </c>
      <c r="D3" s="639"/>
      <c r="E3" s="639"/>
      <c r="F3" s="639"/>
      <c r="G3" s="640"/>
      <c r="I3" s="642" t="s">
        <v>409</v>
      </c>
      <c r="J3" s="639" t="s">
        <v>368</v>
      </c>
      <c r="K3" s="639"/>
      <c r="L3" s="639"/>
      <c r="M3" s="639"/>
      <c r="N3" s="640"/>
    </row>
    <row r="4" spans="1:14" ht="15.5" x14ac:dyDescent="0.35">
      <c r="A4" s="62"/>
      <c r="B4" s="643"/>
      <c r="C4" s="409">
        <f>D4*0.8</f>
        <v>0.24320000000000006</v>
      </c>
      <c r="D4" s="409">
        <f>E4*0.8</f>
        <v>0.30400000000000005</v>
      </c>
      <c r="E4" s="409">
        <f>'Producer Input'!F12</f>
        <v>0.38</v>
      </c>
      <c r="F4" s="409">
        <f>E4*1.2</f>
        <v>0.45599999999999996</v>
      </c>
      <c r="G4" s="410">
        <f>F4*1.2</f>
        <v>0.54719999999999991</v>
      </c>
      <c r="I4" s="643"/>
      <c r="J4" s="195">
        <f>K4*0.8</f>
        <v>0.24320000000000006</v>
      </c>
      <c r="K4" s="195">
        <f>L4*0.8</f>
        <v>0.30400000000000005</v>
      </c>
      <c r="L4" s="195">
        <f>'Producer Input'!G12</f>
        <v>0.38</v>
      </c>
      <c r="M4" s="195">
        <f>L4*1.2</f>
        <v>0.45599999999999996</v>
      </c>
      <c r="N4" s="402">
        <f>M4*1.2</f>
        <v>0.54719999999999991</v>
      </c>
    </row>
    <row r="5" spans="1:14" ht="15.5" x14ac:dyDescent="0.35">
      <c r="A5" s="197"/>
      <c r="B5" s="403">
        <f>B6*0.85</f>
        <v>22659.912</v>
      </c>
      <c r="C5" s="357">
        <f>C$4*$B5-('Ambrosia Budget Summary'!$H$26)</f>
        <v>288.41844790900723</v>
      </c>
      <c r="D5" s="394">
        <f>D$4*$B5-('Ambrosia Budget Summary'!$H$26)</f>
        <v>1666.1410975090075</v>
      </c>
      <c r="E5" s="394">
        <f>E$4*$B5-('Ambrosia Budget Summary'!$H$26)</f>
        <v>3388.2944095090061</v>
      </c>
      <c r="F5" s="394">
        <f>F$4*$B5-('Ambrosia Budget Summary'!$H$26)</f>
        <v>5110.4477215090046</v>
      </c>
      <c r="G5" s="404">
        <f>G$4*$B5-('Ambrosia Budget Summary'!$H$26)</f>
        <v>7177.0316959090032</v>
      </c>
      <c r="I5" s="403">
        <f>I6*0.85</f>
        <v>22659.912</v>
      </c>
      <c r="J5" s="357">
        <f>J$4*$B5-('Ambrosia Budget Summary'!$O$26)</f>
        <v>288.41844790900723</v>
      </c>
      <c r="K5" s="394">
        <f>K$4*$B5-('Ambrosia Budget Summary'!$O$26)</f>
        <v>1666.1410975090075</v>
      </c>
      <c r="L5" s="394">
        <f>L$4*$B5-('Ambrosia Budget Summary'!$O$26)</f>
        <v>3388.2944095090061</v>
      </c>
      <c r="M5" s="394">
        <f>M$4*$B5-('Ambrosia Budget Summary'!$O$26)</f>
        <v>5110.4477215090046</v>
      </c>
      <c r="N5" s="404">
        <f>N$4*$B5-('Ambrosia Budget Summary'!$O$26)</f>
        <v>7177.0316959090032</v>
      </c>
    </row>
    <row r="6" spans="1:14" ht="15.5" x14ac:dyDescent="0.35">
      <c r="A6" s="197"/>
      <c r="B6" s="403">
        <f>B7*0.85</f>
        <v>26658.720000000001</v>
      </c>
      <c r="C6" s="394">
        <f>C$4*$B6-('Ambrosia Budget Summary'!$H$26)</f>
        <v>1260.9285535090075</v>
      </c>
      <c r="D6" s="394">
        <f>D$4*$B6-('Ambrosia Budget Summary'!$H$26)</f>
        <v>2881.7787295090075</v>
      </c>
      <c r="E6" s="394">
        <f>E$4*$B6-('Ambrosia Budget Summary'!$H$26)</f>
        <v>4907.8414495090074</v>
      </c>
      <c r="F6" s="394">
        <f>F$4*$B6-('Ambrosia Budget Summary'!$H$26)</f>
        <v>6933.9041695090054</v>
      </c>
      <c r="G6" s="404">
        <f>G$4*$B6-('Ambrosia Budget Summary'!$H$26)</f>
        <v>9365.1794335090035</v>
      </c>
      <c r="I6" s="403">
        <f>I7*0.85</f>
        <v>26658.720000000001</v>
      </c>
      <c r="J6" s="394">
        <f>J$4*$B6-('Ambrosia Budget Summary'!$O$26)</f>
        <v>1260.9285535090075</v>
      </c>
      <c r="K6" s="394">
        <f>K$4*$B6-('Ambrosia Budget Summary'!$O$26)</f>
        <v>2881.7787295090075</v>
      </c>
      <c r="L6" s="394">
        <f>L$4*$B6-('Ambrosia Budget Summary'!$O$26)</f>
        <v>4907.8414495090074</v>
      </c>
      <c r="M6" s="394">
        <f>M$4*$B6-('Ambrosia Budget Summary'!$O$26)</f>
        <v>6933.9041695090054</v>
      </c>
      <c r="N6" s="404">
        <f>N$4*$B6-('Ambrosia Budget Summary'!$O$26)</f>
        <v>9365.1794335090035</v>
      </c>
    </row>
    <row r="7" spans="1:14" ht="15.5" x14ac:dyDescent="0.35">
      <c r="A7" s="197"/>
      <c r="B7" s="405">
        <f>'Producer Input'!G11</f>
        <v>31363.200000000001</v>
      </c>
      <c r="C7" s="394">
        <f>C$4*$B7-('Ambrosia Budget Summary'!$H$26)</f>
        <v>2405.0580895090079</v>
      </c>
      <c r="D7" s="394">
        <f>D$4*$B7-('Ambrosia Budget Summary'!$H$26)</f>
        <v>4311.9406495090079</v>
      </c>
      <c r="E7" s="395">
        <f>E$4*$B7-('Ambrosia Budget Summary'!$H$26)</f>
        <v>6695.5438495090057</v>
      </c>
      <c r="F7" s="394">
        <f>F$4*$B7-('Ambrosia Budget Summary'!$H$26)</f>
        <v>9079.1470495090052</v>
      </c>
      <c r="G7" s="404">
        <f>G$4*$B7-('Ambrosia Budget Summary'!$H$26)</f>
        <v>11939.470889509004</v>
      </c>
      <c r="I7" s="405">
        <f>'Producer Input'!G11</f>
        <v>31363.200000000001</v>
      </c>
      <c r="J7" s="394">
        <f>J$4*$B7-('Ambrosia Budget Summary'!$O$26)</f>
        <v>2405.0580895090079</v>
      </c>
      <c r="K7" s="394">
        <f>K$4*$B7-('Ambrosia Budget Summary'!$O$26)</f>
        <v>4311.9406495090079</v>
      </c>
      <c r="L7" s="395">
        <f>L$4*$B7-('Ambrosia Budget Summary'!$O$26)</f>
        <v>6695.5438495090057</v>
      </c>
      <c r="M7" s="394">
        <f>M$4*$B7-('Ambrosia Budget Summary'!$O$26)</f>
        <v>9079.1470495090052</v>
      </c>
      <c r="N7" s="404">
        <f>N$4*$B7-('Ambrosia Budget Summary'!$O$26)</f>
        <v>11939.470889509004</v>
      </c>
    </row>
    <row r="8" spans="1:14" ht="15.5" x14ac:dyDescent="0.35">
      <c r="A8" s="197"/>
      <c r="B8" s="403">
        <f>B7*1.15</f>
        <v>36067.68</v>
      </c>
      <c r="C8" s="394">
        <f>C$4*$B8-('Ambrosia Budget Summary'!$H$26)</f>
        <v>3549.1876255090083</v>
      </c>
      <c r="D8" s="394">
        <f>D$4*$B8-('Ambrosia Budget Summary'!$H$26)</f>
        <v>5742.1025695090084</v>
      </c>
      <c r="E8" s="394">
        <f>E$4*$B8-('Ambrosia Budget Summary'!$H$26)</f>
        <v>8483.2462495090058</v>
      </c>
      <c r="F8" s="394">
        <f>F$4*$B8-('Ambrosia Budget Summary'!$H$26)</f>
        <v>11224.389929509005</v>
      </c>
      <c r="G8" s="404">
        <f>G$4*$B8-('Ambrosia Budget Summary'!$H$26)</f>
        <v>14513.762345509003</v>
      </c>
      <c r="I8" s="403">
        <f>I7*1.15</f>
        <v>36067.68</v>
      </c>
      <c r="J8" s="394">
        <f>J$4*$B8-('Ambrosia Budget Summary'!$O$26)</f>
        <v>3549.1876255090083</v>
      </c>
      <c r="K8" s="394">
        <f>K$4*$B8-('Ambrosia Budget Summary'!$O$26)</f>
        <v>5742.1025695090084</v>
      </c>
      <c r="L8" s="394">
        <f>L$4*$B8-('Ambrosia Budget Summary'!$O$26)</f>
        <v>8483.2462495090058</v>
      </c>
      <c r="M8" s="394">
        <f>M$4*$B8-('Ambrosia Budget Summary'!$O$26)</f>
        <v>11224.389929509005</v>
      </c>
      <c r="N8" s="404">
        <f>N$4*$B8-('Ambrosia Budget Summary'!$O$26)</f>
        <v>14513.762345509003</v>
      </c>
    </row>
    <row r="9" spans="1:14" ht="15.5" x14ac:dyDescent="0.35">
      <c r="A9" s="197"/>
      <c r="B9" s="406">
        <f>B8*1.15</f>
        <v>41477.831999999995</v>
      </c>
      <c r="C9" s="407">
        <f>C$4*$B9-('Ambrosia Budget Summary'!$H$26)</f>
        <v>4864.9365919090069</v>
      </c>
      <c r="D9" s="407">
        <f>D$4*$B9-('Ambrosia Budget Summary'!$H$26)</f>
        <v>7386.7887775090057</v>
      </c>
      <c r="E9" s="407">
        <f>E$4*$B9-('Ambrosia Budget Summary'!$H$26)</f>
        <v>10539.104009509005</v>
      </c>
      <c r="F9" s="407">
        <f>F$4*$B9-('Ambrosia Budget Summary'!$H$26)</f>
        <v>13691.419241509004</v>
      </c>
      <c r="G9" s="408">
        <f>G$4*$B9-('Ambrosia Budget Summary'!$H$26)</f>
        <v>17474.197519909001</v>
      </c>
      <c r="I9" s="406">
        <f>I8*1.15</f>
        <v>41477.831999999995</v>
      </c>
      <c r="J9" s="407">
        <f>J$4*$B9-('Ambrosia Budget Summary'!$O$26)</f>
        <v>4864.9365919090069</v>
      </c>
      <c r="K9" s="407">
        <f>K$4*$B9-('Ambrosia Budget Summary'!$O$26)</f>
        <v>7386.7887775090057</v>
      </c>
      <c r="L9" s="407">
        <f>L$4*$B9-('Ambrosia Budget Summary'!$O$26)</f>
        <v>10539.104009509005</v>
      </c>
      <c r="M9" s="407">
        <f>M$4*$B9-('Ambrosia Budget Summary'!$O$26)</f>
        <v>13691.419241509004</v>
      </c>
      <c r="N9" s="408">
        <f>N$4*$B9-('Ambrosia Budget Summary'!$O$26)</f>
        <v>17474.197519909001</v>
      </c>
    </row>
    <row r="10" spans="1:14" x14ac:dyDescent="0.35">
      <c r="A10" s="62"/>
    </row>
    <row r="11" spans="1:14" x14ac:dyDescent="0.35">
      <c r="B11" s="396" t="s">
        <v>329</v>
      </c>
      <c r="C11" s="397"/>
      <c r="D11" s="398"/>
      <c r="E11" s="398"/>
      <c r="F11" s="398"/>
      <c r="G11" s="398"/>
    </row>
    <row r="12" spans="1:14" x14ac:dyDescent="0.35">
      <c r="B12" s="399" t="s">
        <v>330</v>
      </c>
      <c r="C12" s="397"/>
      <c r="D12" s="398"/>
      <c r="E12" s="398"/>
      <c r="F12" s="398"/>
      <c r="G12" s="398"/>
      <c r="H12" s="398"/>
      <c r="I12" s="398"/>
    </row>
    <row r="13" spans="1:14" x14ac:dyDescent="0.35">
      <c r="B13" s="399" t="s">
        <v>331</v>
      </c>
      <c r="C13" s="397"/>
      <c r="D13" s="398"/>
      <c r="E13" s="398"/>
      <c r="F13" s="398"/>
      <c r="G13" s="398"/>
      <c r="H13" s="398"/>
      <c r="I13" s="398"/>
    </row>
    <row r="14" spans="1:14" x14ac:dyDescent="0.35">
      <c r="B14" s="399" t="s">
        <v>369</v>
      </c>
      <c r="C14" s="397"/>
      <c r="D14" s="398"/>
      <c r="E14" s="398"/>
      <c r="F14" s="398"/>
      <c r="G14" s="398"/>
      <c r="H14" s="398"/>
      <c r="I14" s="398"/>
    </row>
    <row r="15" spans="1:14" x14ac:dyDescent="0.35">
      <c r="B15" s="399" t="s">
        <v>332</v>
      </c>
      <c r="C15" s="397"/>
      <c r="D15" s="398"/>
      <c r="E15" s="398"/>
      <c r="F15" s="398"/>
      <c r="G15" s="398"/>
      <c r="H15" s="398"/>
      <c r="I15" s="398"/>
    </row>
    <row r="16" spans="1:14" x14ac:dyDescent="0.35">
      <c r="B16" t="s">
        <v>367</v>
      </c>
      <c r="D16" s="398"/>
      <c r="E16" s="398"/>
      <c r="F16" s="398"/>
      <c r="G16" s="398"/>
      <c r="H16" s="398"/>
      <c r="I16" s="398"/>
    </row>
    <row r="17" spans="2:9" x14ac:dyDescent="0.35">
      <c r="B17" s="336" t="s">
        <v>370</v>
      </c>
      <c r="C17" s="400"/>
      <c r="D17" s="398"/>
      <c r="E17" s="398"/>
      <c r="F17" s="401"/>
      <c r="G17" s="398"/>
      <c r="H17" s="398"/>
      <c r="I17" s="398"/>
    </row>
    <row r="18" spans="2:9" x14ac:dyDescent="0.35">
      <c r="B18" s="336" t="s">
        <v>371</v>
      </c>
      <c r="D18" s="398"/>
      <c r="E18" s="398"/>
      <c r="F18" s="398"/>
      <c r="G18" s="398"/>
      <c r="H18" s="398"/>
      <c r="I18" s="398"/>
    </row>
    <row r="19" spans="2:9" x14ac:dyDescent="0.35">
      <c r="B19" s="638"/>
      <c r="C19" s="638"/>
      <c r="H19" s="398"/>
      <c r="I19" s="398"/>
    </row>
  </sheetData>
  <sheetProtection algorithmName="SHA-512" hashValue="U7HeAoSTmY6NqF9h/zB1LL2K/vez5hjY38AYh5RvFeKgjB2k6QpRtSZJ9WhZEt4t3j9WTDmkD26Gpx67O0Kyhw==" saltValue="z87/7BSkl9fpxVfllzzwcQ==" spinCount="100000" sheet="1" objects="1" scenarios="1"/>
  <mergeCells count="9">
    <mergeCell ref="B19:C19"/>
    <mergeCell ref="J3:N3"/>
    <mergeCell ref="C3:G3"/>
    <mergeCell ref="B1:G1"/>
    <mergeCell ref="B3:B4"/>
    <mergeCell ref="B2:G2"/>
    <mergeCell ref="I1:N1"/>
    <mergeCell ref="I2:N2"/>
    <mergeCell ref="I3:I4"/>
  </mergeCells>
  <conditionalFormatting sqref="C5:G9">
    <cfRule type="cellIs" dxfId="57" priority="7" operator="greaterThan">
      <formula>0</formula>
    </cfRule>
    <cfRule type="cellIs" dxfId="56" priority="9" operator="greaterThan">
      <formula>0</formula>
    </cfRule>
    <cfRule type="cellIs" dxfId="55" priority="10" operator="greaterThan">
      <formula>0</formula>
    </cfRule>
    <cfRule type="cellIs" dxfId="54" priority="12" operator="greaterThan">
      <formula>0</formula>
    </cfRule>
    <cfRule type="cellIs" dxfId="53" priority="13" operator="greaterThan">
      <formula>0</formula>
    </cfRule>
  </conditionalFormatting>
  <conditionalFormatting sqref="P1:P2">
    <cfRule type="cellIs" dxfId="52" priority="11" operator="greaterThan">
      <formula>0</formula>
    </cfRule>
  </conditionalFormatting>
  <conditionalFormatting sqref="C5">
    <cfRule type="cellIs" dxfId="51" priority="8" operator="greaterThan">
      <formula>0</formula>
    </cfRule>
  </conditionalFormatting>
  <conditionalFormatting sqref="J5:N9">
    <cfRule type="cellIs" dxfId="50" priority="1" operator="greaterThan">
      <formula>0</formula>
    </cfRule>
    <cfRule type="cellIs" dxfId="49" priority="3" operator="greaterThan">
      <formula>0</formula>
    </cfRule>
    <cfRule type="cellIs" dxfId="48" priority="4" operator="greaterThan">
      <formula>0</formula>
    </cfRule>
    <cfRule type="cellIs" dxfId="47" priority="5" operator="greaterThan">
      <formula>0</formula>
    </cfRule>
    <cfRule type="cellIs" dxfId="46" priority="6" operator="greaterThan">
      <formula>0</formula>
    </cfRule>
  </conditionalFormatting>
  <conditionalFormatting sqref="J5">
    <cfRule type="cellIs" dxfId="45" priority="2" operator="greaterThan">
      <formula>0</formula>
    </cfRule>
  </conditionalFormatting>
  <printOptions headings="1" gridLines="1"/>
  <pageMargins left="0.70866141732283472" right="0.70866141732283472" top="0.74803149606299213" bottom="0.74803149606299213" header="0.31496062992125984" footer="0.31496062992125984"/>
  <pageSetup scale="87" orientation="landscape" horizontalDpi="4294967293" verticalDpi="4294967293" r:id="rId1"/>
  <headerFooter>
    <oddHeader>&amp;L&amp;A&amp;R&amp;N</oddHeader>
    <oddFooter>&amp;R&amp;Z&amp;F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8"/>
  <sheetViews>
    <sheetView topLeftCell="A2" zoomScale="80" zoomScaleNormal="80" workbookViewId="0">
      <selection activeCell="S15" sqref="S15"/>
    </sheetView>
  </sheetViews>
  <sheetFormatPr defaultRowHeight="14.5" x14ac:dyDescent="0.35"/>
  <cols>
    <col min="1" max="1" width="19.81640625" bestFit="1" customWidth="1"/>
    <col min="2" max="2" width="9.453125" customWidth="1"/>
    <col min="3" max="3" width="8.54296875" customWidth="1"/>
    <col min="4" max="6" width="7.81640625" customWidth="1"/>
    <col min="7" max="7" width="8.7265625" customWidth="1"/>
    <col min="10" max="10" width="10" bestFit="1" customWidth="1"/>
    <col min="12" max="12" width="20" bestFit="1" customWidth="1"/>
    <col min="13" max="13" width="22.26953125" bestFit="1" customWidth="1"/>
    <col min="16" max="16" width="13" customWidth="1"/>
    <col min="17" max="17" width="11.7265625" customWidth="1"/>
  </cols>
  <sheetData>
    <row r="1" spans="1:13" x14ac:dyDescent="0.35">
      <c r="A1" s="135">
        <v>1</v>
      </c>
      <c r="B1" s="135">
        <v>2</v>
      </c>
      <c r="C1" s="135">
        <v>3</v>
      </c>
      <c r="D1" s="135">
        <v>4</v>
      </c>
      <c r="E1" s="135">
        <v>5</v>
      </c>
      <c r="F1" s="135">
        <v>6</v>
      </c>
      <c r="G1" s="135">
        <v>7</v>
      </c>
      <c r="H1" s="135">
        <v>8</v>
      </c>
      <c r="I1" t="s">
        <v>303</v>
      </c>
    </row>
    <row r="2" spans="1:13" x14ac:dyDescent="0.35">
      <c r="B2" t="s">
        <v>16</v>
      </c>
      <c r="C2" t="s">
        <v>1</v>
      </c>
      <c r="E2" t="s">
        <v>97</v>
      </c>
      <c r="F2" t="s">
        <v>1</v>
      </c>
      <c r="G2" t="s">
        <v>16</v>
      </c>
      <c r="H2" t="s">
        <v>19</v>
      </c>
    </row>
    <row r="3" spans="1:13" x14ac:dyDescent="0.35">
      <c r="A3" t="s">
        <v>2</v>
      </c>
      <c r="B3" t="s">
        <v>16</v>
      </c>
      <c r="C3" t="s">
        <v>1</v>
      </c>
      <c r="D3" t="s">
        <v>7</v>
      </c>
      <c r="E3" t="s">
        <v>10</v>
      </c>
      <c r="F3" t="s">
        <v>8</v>
      </c>
      <c r="G3" s="1" t="s">
        <v>17</v>
      </c>
      <c r="H3" t="s">
        <v>51</v>
      </c>
      <c r="I3" s="26" t="s">
        <v>54</v>
      </c>
      <c r="J3" s="3" t="s">
        <v>55</v>
      </c>
    </row>
    <row r="4" spans="1:13" x14ac:dyDescent="0.35">
      <c r="A4" t="s">
        <v>96</v>
      </c>
      <c r="B4" s="56">
        <v>1.06</v>
      </c>
      <c r="C4" t="s">
        <v>235</v>
      </c>
      <c r="E4" s="64">
        <v>78.400000000000006</v>
      </c>
      <c r="F4" s="54" t="s">
        <v>26</v>
      </c>
      <c r="G4" s="65">
        <v>1.06</v>
      </c>
      <c r="H4" s="16">
        <v>1</v>
      </c>
      <c r="I4" s="2">
        <f>Table27[[#This Row],[$/Unit]]*Table27[[#This Row],[Rate]]</f>
        <v>83.104000000000013</v>
      </c>
      <c r="J4" s="2">
        <f>Table27[[#This Row],[$/Unit3]]*Table27[[#This Row],[Rate]]</f>
        <v>83.104000000000013</v>
      </c>
      <c r="K4" s="136">
        <v>83.104000000000013</v>
      </c>
      <c r="M4" s="15" t="s">
        <v>96</v>
      </c>
    </row>
    <row r="5" spans="1:13" x14ac:dyDescent="0.35">
      <c r="A5" s="22" t="s">
        <v>49</v>
      </c>
      <c r="B5" s="33">
        <v>2.13</v>
      </c>
      <c r="C5" s="66" t="s">
        <v>234</v>
      </c>
      <c r="D5" s="66"/>
      <c r="E5" s="66">
        <v>3.6</v>
      </c>
      <c r="F5" s="52" t="s">
        <v>26</v>
      </c>
      <c r="G5" s="67">
        <v>2.13</v>
      </c>
      <c r="H5" s="16">
        <v>1</v>
      </c>
      <c r="I5" s="2">
        <f>Table27[[#This Row],[$/Unit]]*Table27[[#This Row],[Rate]]</f>
        <v>7.6680000000000001</v>
      </c>
      <c r="J5" s="20">
        <f>I5*2</f>
        <v>15.336</v>
      </c>
      <c r="K5" s="136">
        <v>7.6680000000000001</v>
      </c>
      <c r="M5" s="198" t="s">
        <v>49</v>
      </c>
    </row>
    <row r="6" spans="1:13" x14ac:dyDescent="0.35">
      <c r="A6" s="68" t="s">
        <v>95</v>
      </c>
      <c r="B6" s="56">
        <v>0.73</v>
      </c>
      <c r="C6" s="54" t="s">
        <v>234</v>
      </c>
      <c r="D6" s="64"/>
      <c r="E6" s="54">
        <v>100</v>
      </c>
      <c r="F6" s="54" t="s">
        <v>26</v>
      </c>
      <c r="G6" s="65">
        <v>0.73</v>
      </c>
      <c r="H6" s="16">
        <v>1</v>
      </c>
      <c r="I6" s="2">
        <v>1.36</v>
      </c>
      <c r="J6" s="2">
        <f>Table27[[#This Row],[$/Unit3]]*Table27[[#This Row],[Rate]]</f>
        <v>73</v>
      </c>
      <c r="K6" s="136">
        <v>73</v>
      </c>
      <c r="M6" s="199" t="s">
        <v>95</v>
      </c>
    </row>
    <row r="7" spans="1:13" x14ac:dyDescent="0.35">
      <c r="A7" s="68" t="s">
        <v>79</v>
      </c>
      <c r="B7" s="56">
        <v>1.89</v>
      </c>
      <c r="C7" s="64" t="s">
        <v>234</v>
      </c>
      <c r="D7" s="64"/>
      <c r="E7" s="64">
        <v>4.8</v>
      </c>
      <c r="F7" s="54" t="s">
        <v>80</v>
      </c>
      <c r="G7" s="65">
        <v>1.89</v>
      </c>
      <c r="H7" s="16">
        <v>1</v>
      </c>
      <c r="I7" s="2">
        <v>1.3</v>
      </c>
      <c r="J7" s="2">
        <f>1.36*3*5</f>
        <v>20.399999999999999</v>
      </c>
      <c r="K7" s="136">
        <v>9.0719999999999992</v>
      </c>
      <c r="M7" s="199" t="s">
        <v>79</v>
      </c>
    </row>
    <row r="8" spans="1:13" x14ac:dyDescent="0.35">
      <c r="A8" s="68" t="s">
        <v>81</v>
      </c>
      <c r="B8" s="56">
        <v>1.52</v>
      </c>
      <c r="C8" s="64" t="s">
        <v>234</v>
      </c>
      <c r="D8" s="64"/>
      <c r="E8" s="64">
        <v>2.1</v>
      </c>
      <c r="F8" s="54" t="s">
        <v>26</v>
      </c>
      <c r="G8" s="65">
        <v>1.52</v>
      </c>
      <c r="H8" s="16">
        <v>2</v>
      </c>
      <c r="I8" s="2">
        <v>0.75</v>
      </c>
      <c r="J8" s="2">
        <f>0.75*8*5</f>
        <v>30</v>
      </c>
      <c r="K8" s="136">
        <v>6.3840000000000003</v>
      </c>
      <c r="M8" s="199" t="s">
        <v>81</v>
      </c>
    </row>
    <row r="9" spans="1:13" x14ac:dyDescent="0.35">
      <c r="A9" s="68" t="s">
        <v>77</v>
      </c>
      <c r="B9" s="56">
        <v>0.49</v>
      </c>
      <c r="C9" s="64" t="s">
        <v>263</v>
      </c>
      <c r="D9" s="64"/>
      <c r="E9" s="64">
        <v>8</v>
      </c>
      <c r="F9" s="54" t="s">
        <v>26</v>
      </c>
      <c r="G9" s="65">
        <v>0.49</v>
      </c>
      <c r="H9" s="16">
        <v>3</v>
      </c>
      <c r="I9" s="2">
        <v>1.5</v>
      </c>
      <c r="J9" s="2">
        <f>1.5*9*2</f>
        <v>27</v>
      </c>
      <c r="K9" s="136">
        <v>11.76</v>
      </c>
      <c r="M9" s="199" t="s">
        <v>77</v>
      </c>
    </row>
    <row r="10" spans="1:13" x14ac:dyDescent="0.35">
      <c r="A10" s="68" t="s">
        <v>78</v>
      </c>
      <c r="B10" s="56">
        <v>0.78</v>
      </c>
      <c r="C10" s="64" t="s">
        <v>234</v>
      </c>
      <c r="D10" s="64"/>
      <c r="E10" s="64">
        <v>2.1</v>
      </c>
      <c r="F10" s="54" t="s">
        <v>26</v>
      </c>
      <c r="G10" s="65">
        <v>0.78</v>
      </c>
      <c r="H10" s="16">
        <v>2</v>
      </c>
      <c r="I10" s="2">
        <v>1.5</v>
      </c>
      <c r="J10" s="2">
        <f>1.5*9*2</f>
        <v>27</v>
      </c>
      <c r="K10" s="136">
        <v>3.2760000000000002</v>
      </c>
      <c r="M10" s="199" t="s">
        <v>78</v>
      </c>
    </row>
    <row r="11" spans="1:13" x14ac:dyDescent="0.35">
      <c r="A11" s="68" t="s">
        <v>75</v>
      </c>
      <c r="B11" s="56">
        <v>3.06</v>
      </c>
      <c r="C11" s="64" t="s">
        <v>263</v>
      </c>
      <c r="D11" s="64"/>
      <c r="E11" s="64">
        <v>16.2</v>
      </c>
      <c r="F11" s="54" t="s">
        <v>26</v>
      </c>
      <c r="G11" s="65">
        <v>3.06</v>
      </c>
      <c r="H11" s="16">
        <v>1</v>
      </c>
      <c r="I11" s="2">
        <v>1.5</v>
      </c>
      <c r="J11" s="2">
        <f>1.5*13.23*3</f>
        <v>59.534999999999997</v>
      </c>
      <c r="K11" s="136">
        <v>49.571999999999996</v>
      </c>
      <c r="M11" s="199" t="s">
        <v>75</v>
      </c>
    </row>
    <row r="12" spans="1:13" x14ac:dyDescent="0.35">
      <c r="A12" s="19" t="s">
        <v>76</v>
      </c>
      <c r="B12" s="56">
        <v>13.05</v>
      </c>
      <c r="C12" s="64" t="s">
        <v>263</v>
      </c>
      <c r="D12" s="64"/>
      <c r="E12" s="64">
        <v>0.4</v>
      </c>
      <c r="F12" s="54" t="s">
        <v>4</v>
      </c>
      <c r="G12" s="65">
        <v>13.05</v>
      </c>
      <c r="H12" s="16">
        <v>2</v>
      </c>
      <c r="I12" s="2">
        <v>1</v>
      </c>
      <c r="J12" s="2">
        <f>1*12*4</f>
        <v>48</v>
      </c>
      <c r="K12" s="136">
        <v>10.440000000000001</v>
      </c>
      <c r="M12" s="200" t="s">
        <v>76</v>
      </c>
    </row>
    <row r="13" spans="1:13" x14ac:dyDescent="0.35">
      <c r="J13" t="s">
        <v>55</v>
      </c>
      <c r="K13" s="138">
        <f>SUM(K4:K12)</f>
        <v>254.27600000000001</v>
      </c>
      <c r="M13" s="53"/>
    </row>
    <row r="15" spans="1:13" x14ac:dyDescent="0.35">
      <c r="A15" s="63" t="s">
        <v>237</v>
      </c>
      <c r="B15" s="25"/>
      <c r="C15" s="135"/>
      <c r="D15" s="45" t="s">
        <v>16</v>
      </c>
      <c r="E15" s="45" t="s">
        <v>10</v>
      </c>
      <c r="F15" s="45" t="s">
        <v>1</v>
      </c>
      <c r="G15" s="45" t="s">
        <v>19</v>
      </c>
      <c r="I15" s="44" t="s">
        <v>327</v>
      </c>
    </row>
    <row r="16" spans="1:13" x14ac:dyDescent="0.35">
      <c r="A16" s="262" t="s">
        <v>96</v>
      </c>
      <c r="B16" s="262"/>
      <c r="C16" t="str">
        <f>IFERROR((VLOOKUP(A16,table2,3))," ")</f>
        <v>Granular</v>
      </c>
      <c r="D16">
        <f>IFERROR((VLOOKUP(A16,table2,2))," ")</f>
        <v>1.06</v>
      </c>
      <c r="E16">
        <f>IFERROR((VLOOKUP(A16,table2,5))," ")</f>
        <v>78.400000000000006</v>
      </c>
      <c r="F16" t="str">
        <f>IFERROR((VLOOKUP(A16,table2,6))," ")</f>
        <v>kg</v>
      </c>
      <c r="G16">
        <f>IFERROR((VLOOKUP(A16,table2,8))," ")</f>
        <v>1</v>
      </c>
      <c r="I16" s="187">
        <f>IFERROR((G16*D16*E16)," ")</f>
        <v>83.104000000000013</v>
      </c>
    </row>
    <row r="17" spans="1:9" x14ac:dyDescent="0.35">
      <c r="A17" s="273" t="s">
        <v>20</v>
      </c>
      <c r="B17" s="273"/>
      <c r="C17" s="37"/>
      <c r="D17" s="37"/>
      <c r="E17" s="274"/>
      <c r="F17" s="274"/>
      <c r="G17" s="275"/>
      <c r="H17" s="7"/>
      <c r="I17" s="276">
        <f>SUM(I16)</f>
        <v>83.104000000000013</v>
      </c>
    </row>
    <row r="18" spans="1:9" x14ac:dyDescent="0.35">
      <c r="A18" s="140" t="str">
        <f>A15</f>
        <v>Granular Fertilizer</v>
      </c>
      <c r="B18" s="140"/>
      <c r="C18" s="4"/>
      <c r="D18" s="4"/>
      <c r="E18" s="54"/>
      <c r="F18" s="2"/>
      <c r="G18" s="17"/>
      <c r="I18" s="142">
        <f>I17</f>
        <v>83.104000000000013</v>
      </c>
    </row>
    <row r="19" spans="1:9" x14ac:dyDescent="0.35">
      <c r="A19" s="140" t="s">
        <v>238</v>
      </c>
      <c r="B19" s="140"/>
      <c r="C19" s="4"/>
      <c r="D19" s="45" t="s">
        <v>16</v>
      </c>
      <c r="E19" s="45" t="s">
        <v>10</v>
      </c>
      <c r="F19" s="45" t="s">
        <v>1</v>
      </c>
      <c r="G19" s="45" t="s">
        <v>19</v>
      </c>
      <c r="I19" s="44" t="s">
        <v>327</v>
      </c>
    </row>
    <row r="20" spans="1:9" x14ac:dyDescent="0.35">
      <c r="A20" s="140" t="s">
        <v>49</v>
      </c>
      <c r="B20" s="140"/>
      <c r="C20" s="294" t="str">
        <f>IFERROR((VLOOKUP(A20,table2,3))," ")</f>
        <v>Liquid</v>
      </c>
      <c r="D20" s="294">
        <f>IFERROR((VLOOKUP(A20,table2,2))," ")</f>
        <v>2.13</v>
      </c>
      <c r="E20" s="54">
        <f>IFERROR((VLOOKUP(A20,table2,5))," ")</f>
        <v>3.6</v>
      </c>
      <c r="F20" s="2" t="str">
        <f>IFERROR((VLOOKUP(A20,table2,6))," ")</f>
        <v>kg</v>
      </c>
      <c r="G20" s="17">
        <f>IFERROR((VLOOKUP(A20,table2,8))," ")</f>
        <v>1</v>
      </c>
      <c r="I20" s="139">
        <f>IFERROR((G20*D20*E20)," ")</f>
        <v>7.6680000000000001</v>
      </c>
    </row>
    <row r="21" spans="1:9" x14ac:dyDescent="0.35">
      <c r="A21" s="140" t="s">
        <v>79</v>
      </c>
      <c r="B21" s="140"/>
      <c r="C21" s="141" t="str">
        <f>IFERROR((VLOOKUP(A21,table2,3))," ")</f>
        <v>Liquid</v>
      </c>
      <c r="D21" s="141">
        <f>IFERROR((VLOOKUP(A21,table2,2))," ")</f>
        <v>1.89</v>
      </c>
      <c r="E21" s="54">
        <f>IFERROR((VLOOKUP(A21,table2,5))," ")</f>
        <v>4.8</v>
      </c>
      <c r="F21" s="2" t="str">
        <f>IFERROR((VLOOKUP(A21,table2,6))," ")</f>
        <v>lb.</v>
      </c>
      <c r="G21" s="17">
        <f>IFERROR((VLOOKUP(A21,table2,8))," ")</f>
        <v>1</v>
      </c>
      <c r="I21" s="139">
        <f t="shared" ref="I21:I23" si="0">IFERROR((G21*D21*E21)," ")</f>
        <v>9.0719999999999992</v>
      </c>
    </row>
    <row r="22" spans="1:9" x14ac:dyDescent="0.35">
      <c r="A22" s="140" t="s">
        <v>81</v>
      </c>
      <c r="B22" s="140"/>
      <c r="C22" s="141" t="str">
        <f>IFERROR((VLOOKUP(A22,table2,3))," ")</f>
        <v>Liquid</v>
      </c>
      <c r="D22" s="141">
        <f>IFERROR((VLOOKUP(A22,table2,2))," ")</f>
        <v>1.52</v>
      </c>
      <c r="E22" s="54">
        <f>IFERROR((VLOOKUP(A22,table2,5))," ")</f>
        <v>2.1</v>
      </c>
      <c r="F22" s="2" t="str">
        <f>IFERROR((VLOOKUP(A22,table2,6))," ")</f>
        <v>kg</v>
      </c>
      <c r="G22" s="17">
        <f>IFERROR((VLOOKUP(A22,table2,8))," ")</f>
        <v>2</v>
      </c>
      <c r="I22" s="139">
        <f t="shared" si="0"/>
        <v>6.3840000000000003</v>
      </c>
    </row>
    <row r="23" spans="1:9" x14ac:dyDescent="0.35">
      <c r="A23" s="262" t="s">
        <v>78</v>
      </c>
      <c r="B23" s="262"/>
      <c r="C23" s="263" t="str">
        <f>IFERROR((VLOOKUP(A23,table2,3))," ")</f>
        <v>Liquid</v>
      </c>
      <c r="D23" s="263">
        <f>IFERROR((VLOOKUP(A23,table2,2))," ")</f>
        <v>0.78</v>
      </c>
      <c r="E23" s="264">
        <f>IFERROR((VLOOKUP(A23,table2,5))," ")</f>
        <v>2.1</v>
      </c>
      <c r="F23" s="266" t="str">
        <f>IFERROR((VLOOKUP(A23,table2,6))," ")</f>
        <v>kg</v>
      </c>
      <c r="G23" s="264">
        <f>IFERROR((VLOOKUP(A23,table2,8))," ")</f>
        <v>2</v>
      </c>
      <c r="H23" s="265"/>
      <c r="I23" s="187">
        <f t="shared" si="0"/>
        <v>3.2760000000000002</v>
      </c>
    </row>
    <row r="24" spans="1:9" x14ac:dyDescent="0.35">
      <c r="A24" s="273" t="s">
        <v>20</v>
      </c>
      <c r="B24" s="273"/>
      <c r="C24" s="37"/>
      <c r="D24" s="37"/>
      <c r="E24" s="274"/>
      <c r="F24" s="274"/>
      <c r="G24" s="275"/>
      <c r="H24" s="7"/>
      <c r="I24" s="276">
        <f>SUM(I20:I23)</f>
        <v>26.4</v>
      </c>
    </row>
    <row r="25" spans="1:9" x14ac:dyDescent="0.35">
      <c r="A25" s="140" t="str">
        <f>A19</f>
        <v>Liquid Fertilizer</v>
      </c>
      <c r="B25" s="140"/>
      <c r="C25" s="141"/>
      <c r="D25" s="141"/>
      <c r="E25" s="54"/>
      <c r="F25" s="2"/>
      <c r="G25" s="17"/>
      <c r="I25" s="142">
        <f>I24</f>
        <v>26.4</v>
      </c>
    </row>
    <row r="26" spans="1:9" x14ac:dyDescent="0.35">
      <c r="A26" s="70" t="s">
        <v>236</v>
      </c>
      <c r="B26" s="140"/>
      <c r="C26" s="141"/>
      <c r="D26" s="45" t="s">
        <v>16</v>
      </c>
      <c r="E26" s="45" t="s">
        <v>10</v>
      </c>
      <c r="F26" s="45" t="s">
        <v>1</v>
      </c>
      <c r="G26" s="45" t="s">
        <v>19</v>
      </c>
      <c r="I26" s="44" t="s">
        <v>327</v>
      </c>
    </row>
    <row r="27" spans="1:9" x14ac:dyDescent="0.35">
      <c r="A27" s="140" t="s">
        <v>77</v>
      </c>
      <c r="B27" s="140"/>
      <c r="C27" s="294" t="str">
        <f>IFERROR((VLOOKUP(A27,table2,3))," ")</f>
        <v>Micro-Nutr</v>
      </c>
      <c r="D27" s="141">
        <f>IFERROR((VLOOKUP(A27,table2,2))," ")</f>
        <v>0.49</v>
      </c>
      <c r="E27" s="54">
        <f>IFERROR((VLOOKUP(A27,table2,5))," ")</f>
        <v>8</v>
      </c>
      <c r="F27" s="2" t="str">
        <f>IFERROR((VLOOKUP(A27,table2,6))," ")</f>
        <v>kg</v>
      </c>
      <c r="G27" s="17">
        <f>IFERROR((VLOOKUP(A27,table2,8))," ")</f>
        <v>3</v>
      </c>
      <c r="I27" s="139">
        <f t="shared" ref="I27:I29" si="1">IFERROR((G27*D27*E27)," ")</f>
        <v>11.76</v>
      </c>
    </row>
    <row r="28" spans="1:9" x14ac:dyDescent="0.35">
      <c r="A28" s="140" t="s">
        <v>75</v>
      </c>
      <c r="B28" s="140"/>
      <c r="C28" s="70" t="str">
        <f>IFERROR((VLOOKUP(A28,table2,3))," ")</f>
        <v>Micro-Nutr</v>
      </c>
      <c r="D28" s="141">
        <f>IFERROR((VLOOKUP(A28,table2,2))," ")</f>
        <v>3.06</v>
      </c>
      <c r="E28" s="54">
        <f>IFERROR((VLOOKUP(A28,table2,5))," ")</f>
        <v>16.2</v>
      </c>
      <c r="F28" s="2" t="str">
        <f>IFERROR((VLOOKUP(A28,table2,6))," ")</f>
        <v>kg</v>
      </c>
      <c r="G28" s="17">
        <f>IFERROR((VLOOKUP(A28,table2,8))," ")</f>
        <v>1</v>
      </c>
      <c r="I28" s="139">
        <f t="shared" si="1"/>
        <v>49.571999999999996</v>
      </c>
    </row>
    <row r="29" spans="1:9" x14ac:dyDescent="0.35">
      <c r="A29" s="262" t="s">
        <v>76</v>
      </c>
      <c r="B29" s="262"/>
      <c r="C29" s="268" t="str">
        <f>IFERROR((VLOOKUP(A29,table2,3))," ")</f>
        <v>Micro-Nutr</v>
      </c>
      <c r="D29" s="141">
        <f>IFERROR((VLOOKUP(A29,table2,2))," ")</f>
        <v>13.05</v>
      </c>
      <c r="E29" s="269">
        <f>IFERROR((VLOOKUP(A29,table2,5))," ")</f>
        <v>0.4</v>
      </c>
      <c r="F29" s="266" t="str">
        <f>IFERROR((VLOOKUP(A29,table2,6))," ")</f>
        <v>L</v>
      </c>
      <c r="G29" s="264">
        <f>IFERROR((VLOOKUP(A29,table2,8))," ")</f>
        <v>2</v>
      </c>
      <c r="H29" s="265"/>
      <c r="I29" s="139">
        <f t="shared" si="1"/>
        <v>10.440000000000001</v>
      </c>
    </row>
    <row r="30" spans="1:9" x14ac:dyDescent="0.35">
      <c r="A30" s="273" t="s">
        <v>20</v>
      </c>
      <c r="B30" s="273"/>
      <c r="C30" s="37"/>
      <c r="D30" s="37"/>
      <c r="E30" s="274"/>
      <c r="F30" s="274"/>
      <c r="G30" s="275"/>
      <c r="H30" s="7"/>
      <c r="I30" s="276">
        <f>SUM(I27:I29)</f>
        <v>71.771999999999991</v>
      </c>
    </row>
    <row r="31" spans="1:9" x14ac:dyDescent="0.35">
      <c r="A31" s="63" t="str">
        <f>A26</f>
        <v>Micro-Nutrients</v>
      </c>
      <c r="B31" s="25"/>
      <c r="C31" s="135"/>
      <c r="D31" s="135"/>
      <c r="E31" s="45"/>
      <c r="F31" s="45"/>
      <c r="G31" s="45"/>
      <c r="I31" s="142">
        <f>I30</f>
        <v>71.771999999999991</v>
      </c>
    </row>
    <row r="42" spans="1:9" x14ac:dyDescent="0.35">
      <c r="A42" s="421" t="s">
        <v>335</v>
      </c>
      <c r="B42" s="7"/>
      <c r="C42" s="7"/>
      <c r="D42" s="424" t="s">
        <v>16</v>
      </c>
      <c r="E42" s="424" t="s">
        <v>10</v>
      </c>
      <c r="F42" s="424" t="s">
        <v>1</v>
      </c>
      <c r="G42" s="424" t="s">
        <v>19</v>
      </c>
      <c r="H42" s="7"/>
      <c r="I42" s="425" t="s">
        <v>327</v>
      </c>
    </row>
    <row r="43" spans="1:9" x14ac:dyDescent="0.35">
      <c r="A43" s="421" t="s">
        <v>237</v>
      </c>
      <c r="B43" s="428"/>
      <c r="C43" s="51"/>
      <c r="D43" s="424"/>
      <c r="E43" s="424"/>
      <c r="F43" s="424"/>
      <c r="G43" s="424"/>
      <c r="H43" s="7"/>
      <c r="I43" s="425"/>
    </row>
    <row r="44" spans="1:9" x14ac:dyDescent="0.35">
      <c r="A44" s="429" t="s">
        <v>96</v>
      </c>
      <c r="B44" s="262"/>
      <c r="C44" s="53" t="str">
        <f>IFERROR((VLOOKUP(A44,table2,3))," ")</f>
        <v>Granular</v>
      </c>
      <c r="D44" s="53">
        <f>IFERROR((VLOOKUP(A44,table2,2))," ")</f>
        <v>1.06</v>
      </c>
      <c r="E44" s="53">
        <f>IFERROR((VLOOKUP(A44,table2,5))," ")</f>
        <v>78.400000000000006</v>
      </c>
      <c r="F44" s="53" t="str">
        <f>IFERROR((VLOOKUP(A44,table2,6))," ")</f>
        <v>kg</v>
      </c>
      <c r="G44" s="53">
        <f>IFERROR((VLOOKUP(A44,table2,8))," ")</f>
        <v>1</v>
      </c>
      <c r="H44" s="53"/>
      <c r="I44" s="419">
        <f>IFERROR((G44*D44*E44)," ")</f>
        <v>83.104000000000013</v>
      </c>
    </row>
    <row r="45" spans="1:9" x14ac:dyDescent="0.35">
      <c r="A45" s="432" t="s">
        <v>20</v>
      </c>
      <c r="B45" s="273"/>
      <c r="C45" s="37"/>
      <c r="D45" s="37"/>
      <c r="E45" s="274"/>
      <c r="F45" s="274"/>
      <c r="G45" s="275"/>
      <c r="H45" s="7"/>
      <c r="I45" s="420">
        <f>SUM(I44)</f>
        <v>83.104000000000013</v>
      </c>
    </row>
    <row r="46" spans="1:9" x14ac:dyDescent="0.35">
      <c r="A46" s="421" t="s">
        <v>238</v>
      </c>
      <c r="B46" s="428"/>
      <c r="C46" s="51"/>
      <c r="D46" s="424"/>
      <c r="E46" s="424"/>
      <c r="F46" s="424"/>
      <c r="G46" s="424"/>
      <c r="H46" s="7"/>
      <c r="I46" s="425"/>
    </row>
    <row r="47" spans="1:9" x14ac:dyDescent="0.35">
      <c r="A47" s="430" t="s">
        <v>49</v>
      </c>
      <c r="B47" s="140"/>
      <c r="C47" s="294" t="str">
        <f>IFERROR((VLOOKUP(A47,table2,3))," ")</f>
        <v>Liquid</v>
      </c>
      <c r="D47" s="294">
        <f>IFERROR((VLOOKUP(A47,table2,2))," ")</f>
        <v>2.13</v>
      </c>
      <c r="E47" s="54">
        <f>IFERROR((VLOOKUP(A47,table2,5))," ")</f>
        <v>3.6</v>
      </c>
      <c r="F47" s="57" t="str">
        <f>IFERROR((VLOOKUP(A47,table2,6))," ")</f>
        <v>kg</v>
      </c>
      <c r="G47" s="54">
        <f>IFERROR((VLOOKUP(A47,table2,8))," ")</f>
        <v>1</v>
      </c>
      <c r="H47" s="53"/>
      <c r="I47" s="415">
        <f>IFERROR((G47*D47*E47)," ")</f>
        <v>7.6680000000000001</v>
      </c>
    </row>
    <row r="48" spans="1:9" x14ac:dyDescent="0.35">
      <c r="A48" s="430" t="s">
        <v>79</v>
      </c>
      <c r="B48" s="140"/>
      <c r="C48" s="141" t="str">
        <f>IFERROR((VLOOKUP(A48,table2,3))," ")</f>
        <v>Liquid</v>
      </c>
      <c r="D48" s="141">
        <f>IFERROR((VLOOKUP(A48,table2,2))," ")</f>
        <v>1.89</v>
      </c>
      <c r="E48" s="54">
        <f>IFERROR((VLOOKUP(A48,table2,5))," ")</f>
        <v>4.8</v>
      </c>
      <c r="F48" s="57" t="str">
        <f>IFERROR((VLOOKUP(A48,table2,6))," ")</f>
        <v>lb.</v>
      </c>
      <c r="G48" s="54">
        <f>IFERROR((VLOOKUP(A48,table2,8))," ")</f>
        <v>1</v>
      </c>
      <c r="H48" s="53"/>
      <c r="I48" s="415">
        <f t="shared" ref="I48:I50" si="2">IFERROR((G48*D48*E48)," ")</f>
        <v>9.0719999999999992</v>
      </c>
    </row>
    <row r="49" spans="1:9" x14ac:dyDescent="0.35">
      <c r="A49" s="430" t="s">
        <v>81</v>
      </c>
      <c r="B49" s="140"/>
      <c r="C49" s="141" t="str">
        <f>IFERROR((VLOOKUP(A49,table2,3))," ")</f>
        <v>Liquid</v>
      </c>
      <c r="D49" s="141">
        <f>IFERROR((VLOOKUP(A49,table2,2))," ")</f>
        <v>1.52</v>
      </c>
      <c r="E49" s="54">
        <f>IFERROR((VLOOKUP(A49,table2,5))," ")</f>
        <v>2.1</v>
      </c>
      <c r="F49" s="57" t="str">
        <f>IFERROR((VLOOKUP(A49,table2,6))," ")</f>
        <v>kg</v>
      </c>
      <c r="G49" s="54">
        <f>IFERROR((VLOOKUP(A49,table2,8))," ")</f>
        <v>2</v>
      </c>
      <c r="H49" s="53"/>
      <c r="I49" s="415">
        <f t="shared" si="2"/>
        <v>6.3840000000000003</v>
      </c>
    </row>
    <row r="50" spans="1:9" x14ac:dyDescent="0.35">
      <c r="A50" s="429" t="s">
        <v>78</v>
      </c>
      <c r="B50" s="262"/>
      <c r="C50" s="263" t="str">
        <f>IFERROR((VLOOKUP(A50,table2,3))," ")</f>
        <v>Liquid</v>
      </c>
      <c r="D50" s="263">
        <f>IFERROR((VLOOKUP(A50,table2,2))," ")</f>
        <v>0.78</v>
      </c>
      <c r="E50" s="264">
        <f>IFERROR((VLOOKUP(A50,table2,5))," ")</f>
        <v>2.1</v>
      </c>
      <c r="F50" s="266" t="str">
        <f>IFERROR((VLOOKUP(A50,table2,6))," ")</f>
        <v>kg</v>
      </c>
      <c r="G50" s="264">
        <f>IFERROR((VLOOKUP(A50,table2,8))," ")</f>
        <v>2</v>
      </c>
      <c r="H50" s="265"/>
      <c r="I50" s="419">
        <f t="shared" si="2"/>
        <v>3.2760000000000002</v>
      </c>
    </row>
    <row r="51" spans="1:9" x14ac:dyDescent="0.35">
      <c r="A51" s="432" t="s">
        <v>20</v>
      </c>
      <c r="B51" s="273"/>
      <c r="C51" s="37"/>
      <c r="D51" s="37"/>
      <c r="E51" s="274"/>
      <c r="F51" s="274"/>
      <c r="G51" s="275"/>
      <c r="H51" s="7"/>
      <c r="I51" s="420">
        <f>SUM(I47:I50)</f>
        <v>26.4</v>
      </c>
    </row>
    <row r="52" spans="1:9" x14ac:dyDescent="0.35">
      <c r="A52" s="421" t="s">
        <v>236</v>
      </c>
      <c r="B52" s="428"/>
      <c r="C52" s="51"/>
      <c r="D52" s="424"/>
      <c r="E52" s="424"/>
      <c r="F52" s="424"/>
      <c r="G52" s="424"/>
      <c r="H52" s="7"/>
      <c r="I52" s="425"/>
    </row>
    <row r="53" spans="1:9" x14ac:dyDescent="0.35">
      <c r="A53" s="430" t="s">
        <v>77</v>
      </c>
      <c r="B53" s="140"/>
      <c r="C53" s="294" t="str">
        <f>IFERROR((VLOOKUP(A53,table2,3))," ")</f>
        <v>Micro-Nutr</v>
      </c>
      <c r="D53" s="141">
        <f>IFERROR((VLOOKUP(A53,table2,2))," ")</f>
        <v>0.49</v>
      </c>
      <c r="E53" s="54">
        <f>IFERROR((VLOOKUP(A53,table2,5))," ")</f>
        <v>8</v>
      </c>
      <c r="F53" s="57" t="str">
        <f>IFERROR((VLOOKUP(A53,table2,6))," ")</f>
        <v>kg</v>
      </c>
      <c r="G53" s="54">
        <f>IFERROR((VLOOKUP(A53,table2,8))," ")</f>
        <v>3</v>
      </c>
      <c r="H53" s="53"/>
      <c r="I53" s="415">
        <f t="shared" ref="I53:I55" si="3">IFERROR((G53*D53*E53)," ")</f>
        <v>11.76</v>
      </c>
    </row>
    <row r="54" spans="1:9" x14ac:dyDescent="0.35">
      <c r="A54" s="430" t="s">
        <v>75</v>
      </c>
      <c r="B54" s="140"/>
      <c r="C54" s="70" t="str">
        <f>IFERROR((VLOOKUP(A54,table2,3))," ")</f>
        <v>Micro-Nutr</v>
      </c>
      <c r="D54" s="141">
        <f>IFERROR((VLOOKUP(A54,table2,2))," ")</f>
        <v>3.06</v>
      </c>
      <c r="E54" s="54">
        <f>IFERROR((VLOOKUP(A54,table2,5))," ")</f>
        <v>16.2</v>
      </c>
      <c r="F54" s="57" t="str">
        <f>IFERROR((VLOOKUP(A54,table2,6))," ")</f>
        <v>kg</v>
      </c>
      <c r="G54" s="54">
        <f>IFERROR((VLOOKUP(A54,table2,8))," ")</f>
        <v>1</v>
      </c>
      <c r="H54" s="53"/>
      <c r="I54" s="415">
        <f t="shared" si="3"/>
        <v>49.571999999999996</v>
      </c>
    </row>
    <row r="55" spans="1:9" x14ac:dyDescent="0.35">
      <c r="A55" s="429" t="s">
        <v>76</v>
      </c>
      <c r="B55" s="262"/>
      <c r="C55" s="268" t="str">
        <f>IFERROR((VLOOKUP(A55,table2,3))," ")</f>
        <v>Micro-Nutr</v>
      </c>
      <c r="D55" s="141">
        <f>IFERROR((VLOOKUP(A55,table2,2))," ")</f>
        <v>13.05</v>
      </c>
      <c r="E55" s="269">
        <f>IFERROR((VLOOKUP(A55,table2,5))," ")</f>
        <v>0.4</v>
      </c>
      <c r="F55" s="266" t="str">
        <f>IFERROR((VLOOKUP(A55,table2,6))," ")</f>
        <v>L</v>
      </c>
      <c r="G55" s="264">
        <f>IFERROR((VLOOKUP(A55,table2,8))," ")</f>
        <v>2</v>
      </c>
      <c r="H55" s="265"/>
      <c r="I55" s="415">
        <f t="shared" si="3"/>
        <v>10.440000000000001</v>
      </c>
    </row>
    <row r="56" spans="1:9" x14ac:dyDescent="0.35">
      <c r="A56" s="421" t="s">
        <v>20</v>
      </c>
      <c r="B56" s="428"/>
      <c r="C56" s="51"/>
      <c r="D56" s="424"/>
      <c r="E56" s="424"/>
      <c r="F56" s="424"/>
      <c r="G56" s="424"/>
      <c r="H56" s="7"/>
      <c r="I56" s="425">
        <f>SUM(I53:I55)</f>
        <v>71.771999999999991</v>
      </c>
    </row>
    <row r="57" spans="1:9" ht="15" thickBot="1" x14ac:dyDescent="0.4">
      <c r="A57" s="427" t="s">
        <v>20</v>
      </c>
      <c r="B57" s="433"/>
      <c r="C57" s="431"/>
      <c r="D57" s="431"/>
      <c r="E57" s="431"/>
      <c r="F57" s="431"/>
      <c r="G57" s="431"/>
      <c r="H57" s="105"/>
      <c r="I57" s="434">
        <f>I56+I51+I45</f>
        <v>181.27600000000001</v>
      </c>
    </row>
    <row r="58" spans="1:9" ht="15" thickTop="1" x14ac:dyDescent="0.35"/>
  </sheetData>
  <dataValidations count="1">
    <dataValidation type="list" allowBlank="1" showInputMessage="1" showErrorMessage="1" sqref="A44 A53:A55 A47:A50 B44:B56 A16 A27:A29 A20:A23 B16:B30" xr:uid="{00000000-0002-0000-0700-000000000000}">
      <formula1>$M$4:$M$13</formula1>
    </dataValidation>
  </dataValidations>
  <pageMargins left="0.7" right="0.7" top="0.75" bottom="0.75" header="0.3" footer="0.3"/>
  <pageSetup orientation="landscape" horizontalDpi="0" verticalDpi="0"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5"/>
  <sheetViews>
    <sheetView topLeftCell="A34" zoomScale="80" zoomScaleNormal="80" workbookViewId="0">
      <selection activeCell="S15" sqref="S15"/>
    </sheetView>
  </sheetViews>
  <sheetFormatPr defaultRowHeight="14.5" outlineLevelCol="1" x14ac:dyDescent="0.35"/>
  <cols>
    <col min="1" max="1" width="15.81640625" customWidth="1"/>
    <col min="2" max="2" width="12.1796875" customWidth="1"/>
    <col min="3" max="3" width="21.1796875" customWidth="1" outlineLevel="1"/>
    <col min="4" max="4" width="8.81640625" customWidth="1" outlineLevel="1"/>
    <col min="5" max="6" width="9.1796875" customWidth="1" outlineLevel="1"/>
    <col min="7" max="7" width="11" customWidth="1" outlineLevel="1"/>
    <col min="8" max="8" width="14.54296875" customWidth="1"/>
    <col min="9" max="9" width="9.81640625" bestFit="1" customWidth="1"/>
    <col min="10" max="10" width="10.453125" bestFit="1" customWidth="1"/>
    <col min="11" max="11" width="11.453125" bestFit="1" customWidth="1" outlineLevel="1"/>
    <col min="14" max="14" width="20.1796875" bestFit="1" customWidth="1"/>
  </cols>
  <sheetData>
    <row r="1" spans="1:14" ht="18.5" x14ac:dyDescent="0.45">
      <c r="A1" s="650" t="s">
        <v>98</v>
      </c>
      <c r="B1" s="651"/>
      <c r="C1" s="651"/>
      <c r="D1" s="651"/>
      <c r="E1" s="651"/>
      <c r="F1" s="651"/>
      <c r="G1" s="651"/>
      <c r="H1" s="651"/>
      <c r="I1" s="651"/>
      <c r="J1" s="651"/>
      <c r="K1" s="652"/>
      <c r="M1" t="s">
        <v>303</v>
      </c>
    </row>
    <row r="2" spans="1:14" ht="15.5" x14ac:dyDescent="0.35">
      <c r="A2" s="647"/>
      <c r="B2" s="648"/>
      <c r="C2" s="648"/>
      <c r="D2" s="648"/>
      <c r="E2" s="648"/>
      <c r="F2" s="648"/>
      <c r="G2" s="648"/>
      <c r="H2" s="648"/>
      <c r="I2" s="648"/>
      <c r="J2" s="648"/>
      <c r="K2" s="649"/>
      <c r="M2" s="62"/>
    </row>
    <row r="3" spans="1:14" ht="30.75" customHeight="1" thickBot="1" x14ac:dyDescent="0.4">
      <c r="A3" s="10"/>
      <c r="B3" s="7"/>
      <c r="C3" s="7"/>
      <c r="D3" s="11" t="s">
        <v>15</v>
      </c>
      <c r="E3" s="11" t="s">
        <v>40</v>
      </c>
      <c r="F3" s="38" t="s">
        <v>1</v>
      </c>
      <c r="G3" s="11" t="s">
        <v>12</v>
      </c>
      <c r="H3" s="11" t="s">
        <v>13</v>
      </c>
      <c r="I3" s="11" t="s">
        <v>14</v>
      </c>
      <c r="J3" s="8" t="s">
        <v>1</v>
      </c>
      <c r="K3" s="21" t="s">
        <v>5</v>
      </c>
      <c r="L3" s="61" t="s">
        <v>50</v>
      </c>
      <c r="M3" s="62"/>
    </row>
    <row r="4" spans="1:14" x14ac:dyDescent="0.35">
      <c r="A4" s="39" t="s">
        <v>9</v>
      </c>
      <c r="B4" s="40" t="s">
        <v>25</v>
      </c>
      <c r="C4" s="40" t="s">
        <v>43</v>
      </c>
      <c r="D4" s="41" t="s">
        <v>7</v>
      </c>
      <c r="E4" s="41" t="s">
        <v>3</v>
      </c>
      <c r="F4" s="41" t="s">
        <v>1</v>
      </c>
      <c r="G4" s="41" t="s">
        <v>8</v>
      </c>
      <c r="H4" s="42" t="s">
        <v>6</v>
      </c>
      <c r="I4" s="41" t="s">
        <v>10</v>
      </c>
      <c r="J4" s="41" t="s">
        <v>11</v>
      </c>
      <c r="K4" s="43" t="s">
        <v>5</v>
      </c>
      <c r="L4" s="3" t="s">
        <v>37</v>
      </c>
      <c r="M4" s="62"/>
    </row>
    <row r="5" spans="1:14" x14ac:dyDescent="0.35">
      <c r="A5" s="110" t="s">
        <v>83</v>
      </c>
      <c r="B5" s="111" t="s">
        <v>22</v>
      </c>
      <c r="C5" s="111"/>
      <c r="D5" s="112"/>
      <c r="E5" s="113"/>
      <c r="F5" s="113"/>
      <c r="G5" s="114"/>
      <c r="H5" s="114">
        <v>80.150000000000006</v>
      </c>
      <c r="I5" s="113">
        <v>0.09</v>
      </c>
      <c r="J5" s="111" t="s">
        <v>72</v>
      </c>
      <c r="K5" s="111">
        <f t="shared" ref="K5:K21" si="0">L5*I5*H5</f>
        <v>7.2134999999999998</v>
      </c>
      <c r="L5" s="115">
        <v>1</v>
      </c>
      <c r="M5" s="139"/>
      <c r="N5" s="58" t="str">
        <f>Table1[[#This Row],[Name]]</f>
        <v>Admire</v>
      </c>
    </row>
    <row r="6" spans="1:14" x14ac:dyDescent="0.35">
      <c r="A6" s="116" t="s">
        <v>74</v>
      </c>
      <c r="B6" s="117" t="s">
        <v>24</v>
      </c>
      <c r="C6" s="117"/>
      <c r="D6" s="118"/>
      <c r="E6" s="119"/>
      <c r="F6" s="119"/>
      <c r="G6" s="120"/>
      <c r="H6" s="121">
        <v>442.85</v>
      </c>
      <c r="I6" s="119">
        <v>0.15</v>
      </c>
      <c r="J6" s="117" t="s">
        <v>72</v>
      </c>
      <c r="K6" s="117">
        <f t="shared" si="0"/>
        <v>66.427499999999995</v>
      </c>
      <c r="L6" s="123">
        <v>1</v>
      </c>
      <c r="M6" s="142"/>
      <c r="N6" s="59" t="str">
        <f>Table1[[#This Row],[Name]]</f>
        <v>Alion</v>
      </c>
    </row>
    <row r="7" spans="1:14" x14ac:dyDescent="0.35">
      <c r="A7" s="124" t="s">
        <v>85</v>
      </c>
      <c r="B7" s="125" t="s">
        <v>22</v>
      </c>
      <c r="C7" s="125"/>
      <c r="D7" s="112"/>
      <c r="E7" s="126"/>
      <c r="F7" s="126"/>
      <c r="G7" s="127"/>
      <c r="H7" s="128">
        <v>490.42</v>
      </c>
      <c r="I7" s="126">
        <v>3.2399999999999998E-2</v>
      </c>
      <c r="J7" s="125" t="s">
        <v>26</v>
      </c>
      <c r="K7" s="125">
        <f t="shared" si="0"/>
        <v>15.889607999999999</v>
      </c>
      <c r="L7" s="129">
        <v>1</v>
      </c>
      <c r="M7" s="142"/>
      <c r="N7" s="59" t="str">
        <f>Table1[[#This Row],[Name]]</f>
        <v>Altacor</v>
      </c>
    </row>
    <row r="8" spans="1:14" x14ac:dyDescent="0.35">
      <c r="A8" s="116" t="s">
        <v>94</v>
      </c>
      <c r="B8" s="117" t="s">
        <v>265</v>
      </c>
      <c r="C8" s="117"/>
      <c r="D8" s="118"/>
      <c r="E8" s="119"/>
      <c r="F8" s="119"/>
      <c r="G8" s="120"/>
      <c r="H8" s="121">
        <v>208.15</v>
      </c>
      <c r="I8" s="119">
        <v>0.54700000000000004</v>
      </c>
      <c r="J8" s="117" t="s">
        <v>26</v>
      </c>
      <c r="K8" s="117">
        <f t="shared" si="0"/>
        <v>341.57415000000003</v>
      </c>
      <c r="L8" s="123">
        <v>3</v>
      </c>
      <c r="M8" s="142"/>
      <c r="N8" s="59" t="str">
        <f>Table1[[#This Row],[Name]]</f>
        <v>Apogee</v>
      </c>
    </row>
    <row r="9" spans="1:14" ht="12.75" customHeight="1" x14ac:dyDescent="0.35">
      <c r="A9" s="124" t="s">
        <v>91</v>
      </c>
      <c r="B9" s="125" t="s">
        <v>265</v>
      </c>
      <c r="C9" s="125"/>
      <c r="D9" s="112"/>
      <c r="E9" s="126"/>
      <c r="F9" s="126"/>
      <c r="G9" s="127"/>
      <c r="H9" s="128">
        <v>1.53</v>
      </c>
      <c r="I9" s="126">
        <v>1.6</v>
      </c>
      <c r="J9" s="125" t="s">
        <v>72</v>
      </c>
      <c r="K9" s="125">
        <f t="shared" si="0"/>
        <v>2.4480000000000004</v>
      </c>
      <c r="L9" s="129">
        <v>1</v>
      </c>
      <c r="M9" s="142"/>
      <c r="N9" s="59" t="str">
        <f>Table1[[#This Row],[Name]]</f>
        <v>ATS</v>
      </c>
    </row>
    <row r="10" spans="1:14" ht="16.5" customHeight="1" x14ac:dyDescent="0.35">
      <c r="A10" s="116" t="s">
        <v>86</v>
      </c>
      <c r="B10" s="117" t="s">
        <v>22</v>
      </c>
      <c r="C10" s="117"/>
      <c r="D10" s="118"/>
      <c r="E10" s="119"/>
      <c r="F10" s="119"/>
      <c r="G10" s="120"/>
      <c r="H10" s="121">
        <v>388.71</v>
      </c>
      <c r="I10" s="119">
        <v>0.17</v>
      </c>
      <c r="J10" s="117" t="s">
        <v>26</v>
      </c>
      <c r="K10" s="117">
        <f t="shared" si="0"/>
        <v>66.080700000000007</v>
      </c>
      <c r="L10" s="123">
        <v>1</v>
      </c>
      <c r="M10" s="139"/>
      <c r="N10" s="59" t="str">
        <f>Table1[[#This Row],[Name]]</f>
        <v>Delegate</v>
      </c>
    </row>
    <row r="11" spans="1:14" x14ac:dyDescent="0.35">
      <c r="A11" s="130" t="s">
        <v>84</v>
      </c>
      <c r="B11" s="125" t="s">
        <v>22</v>
      </c>
      <c r="C11" s="125"/>
      <c r="D11" s="112"/>
      <c r="E11" s="126"/>
      <c r="F11" s="126"/>
      <c r="G11" s="127"/>
      <c r="H11" s="128">
        <v>82.88</v>
      </c>
      <c r="I11" s="126">
        <v>0.68</v>
      </c>
      <c r="J11" s="125" t="s">
        <v>26</v>
      </c>
      <c r="K11" s="125">
        <f t="shared" si="0"/>
        <v>112.71680000000001</v>
      </c>
      <c r="L11" s="129">
        <v>2</v>
      </c>
      <c r="M11" s="142"/>
      <c r="N11" s="60" t="str">
        <f>Table1[[#This Row],[Name]]</f>
        <v>Dipel</v>
      </c>
    </row>
    <row r="12" spans="1:14" x14ac:dyDescent="0.35">
      <c r="A12" s="116" t="s">
        <v>88</v>
      </c>
      <c r="B12" s="117" t="s">
        <v>23</v>
      </c>
      <c r="C12" s="117"/>
      <c r="D12" s="118"/>
      <c r="E12" s="119"/>
      <c r="F12" s="119"/>
      <c r="G12" s="120"/>
      <c r="H12" s="121">
        <v>11.47</v>
      </c>
      <c r="I12" s="119">
        <v>2.4</v>
      </c>
      <c r="J12" s="117" t="s">
        <v>26</v>
      </c>
      <c r="K12" s="117">
        <f t="shared" si="0"/>
        <v>110.11200000000001</v>
      </c>
      <c r="L12" s="123">
        <v>4</v>
      </c>
      <c r="M12" s="139"/>
      <c r="N12" s="59" t="str">
        <f>Table1[[#This Row],[Name]]</f>
        <v>Dithane</v>
      </c>
    </row>
    <row r="13" spans="1:14" x14ac:dyDescent="0.35">
      <c r="A13" s="132" t="s">
        <v>82</v>
      </c>
      <c r="B13" s="125" t="s">
        <v>22</v>
      </c>
      <c r="C13" s="131"/>
      <c r="D13" s="112"/>
      <c r="E13" s="126"/>
      <c r="F13" s="126"/>
      <c r="G13" s="127"/>
      <c r="H13" s="128">
        <v>1.66</v>
      </c>
      <c r="I13" s="126">
        <v>24.3</v>
      </c>
      <c r="J13" s="125" t="s">
        <v>72</v>
      </c>
      <c r="K13" s="125">
        <f t="shared" si="0"/>
        <v>40.338000000000001</v>
      </c>
      <c r="L13" s="129">
        <v>1</v>
      </c>
      <c r="M13" s="142"/>
      <c r="N13" s="59" t="str">
        <f>Table1[[#This Row],[Name]]</f>
        <v>Dormant Oil</v>
      </c>
    </row>
    <row r="14" spans="1:14" x14ac:dyDescent="0.35">
      <c r="A14" s="116" t="s">
        <v>87</v>
      </c>
      <c r="B14" s="117" t="s">
        <v>23</v>
      </c>
      <c r="C14" s="117"/>
      <c r="D14" s="121"/>
      <c r="E14" s="119"/>
      <c r="F14" s="119"/>
      <c r="G14" s="120"/>
      <c r="H14" s="121">
        <v>21.51</v>
      </c>
      <c r="I14" s="119">
        <v>1.6</v>
      </c>
      <c r="J14" s="117" t="s">
        <v>26</v>
      </c>
      <c r="K14" s="117">
        <f t="shared" si="0"/>
        <v>34.416000000000004</v>
      </c>
      <c r="L14" s="123">
        <v>1</v>
      </c>
      <c r="M14" s="139"/>
      <c r="N14" s="59" t="str">
        <f>Table1[[#This Row],[Name]]</f>
        <v>Fixed Copper</v>
      </c>
    </row>
    <row r="15" spans="1:14" x14ac:dyDescent="0.35">
      <c r="A15" s="132" t="s">
        <v>90</v>
      </c>
      <c r="B15" s="125" t="s">
        <v>23</v>
      </c>
      <c r="C15" s="131"/>
      <c r="D15" s="112"/>
      <c r="E15" s="126"/>
      <c r="F15" s="126"/>
      <c r="G15" s="127"/>
      <c r="H15" s="128">
        <v>670.63</v>
      </c>
      <c r="I15" s="126">
        <v>0.06</v>
      </c>
      <c r="J15" s="125" t="s">
        <v>26</v>
      </c>
      <c r="K15" s="125">
        <f t="shared" si="0"/>
        <v>40.2378</v>
      </c>
      <c r="L15" s="129">
        <v>1</v>
      </c>
      <c r="M15" s="139"/>
      <c r="N15" s="59" t="str">
        <f>Table1[[#This Row],[Name]]</f>
        <v>Flint</v>
      </c>
    </row>
    <row r="16" spans="1:14" x14ac:dyDescent="0.35">
      <c r="A16" s="116" t="s">
        <v>93</v>
      </c>
      <c r="B16" s="117" t="s">
        <v>265</v>
      </c>
      <c r="C16" s="117"/>
      <c r="D16" s="118"/>
      <c r="E16" s="119"/>
      <c r="F16" s="119"/>
      <c r="G16" s="120"/>
      <c r="H16" s="121">
        <v>91.61</v>
      </c>
      <c r="I16" s="119">
        <v>1</v>
      </c>
      <c r="J16" s="117" t="s">
        <v>72</v>
      </c>
      <c r="K16" s="117">
        <f t="shared" si="0"/>
        <v>91.61</v>
      </c>
      <c r="L16" s="123">
        <v>1</v>
      </c>
      <c r="M16" s="142"/>
      <c r="N16" s="59" t="str">
        <f>Table1[[#This Row],[Name]]</f>
        <v>Maxcel</v>
      </c>
    </row>
    <row r="17" spans="1:14" x14ac:dyDescent="0.35">
      <c r="A17" s="132" t="s">
        <v>89</v>
      </c>
      <c r="B17" s="125" t="s">
        <v>23</v>
      </c>
      <c r="C17" s="131"/>
      <c r="D17" s="112"/>
      <c r="E17" s="126"/>
      <c r="F17" s="126"/>
      <c r="G17" s="127"/>
      <c r="H17" s="128">
        <v>258.04000000000002</v>
      </c>
      <c r="I17" s="126">
        <v>0.14000000000000001</v>
      </c>
      <c r="J17" s="125" t="s">
        <v>26</v>
      </c>
      <c r="K17" s="125">
        <f t="shared" si="0"/>
        <v>72.251200000000011</v>
      </c>
      <c r="L17" s="129">
        <v>2</v>
      </c>
      <c r="M17" s="142"/>
      <c r="N17" s="59" t="str">
        <f>Table1[[#This Row],[Name]]</f>
        <v>Nova</v>
      </c>
    </row>
    <row r="18" spans="1:14" x14ac:dyDescent="0.35">
      <c r="A18" s="116" t="s">
        <v>73</v>
      </c>
      <c r="B18" s="117" t="s">
        <v>24</v>
      </c>
      <c r="C18" s="117"/>
      <c r="D18" s="118"/>
      <c r="E18" s="119"/>
      <c r="F18" s="119"/>
      <c r="G18" s="120"/>
      <c r="H18" s="121">
        <v>15.44</v>
      </c>
      <c r="I18" s="119">
        <v>1.7</v>
      </c>
      <c r="J18" s="117" t="s">
        <v>72</v>
      </c>
      <c r="K18" s="117">
        <f t="shared" si="0"/>
        <v>26.247999999999998</v>
      </c>
      <c r="L18" s="123">
        <v>1</v>
      </c>
      <c r="M18" s="142"/>
      <c r="N18" s="59" t="str">
        <f>Table1[[#This Row],[Name]]</f>
        <v>Prowl</v>
      </c>
    </row>
    <row r="19" spans="1:14" x14ac:dyDescent="0.35">
      <c r="A19" s="130" t="s">
        <v>70</v>
      </c>
      <c r="B19" s="125" t="s">
        <v>264</v>
      </c>
      <c r="C19" s="125"/>
      <c r="D19" s="112"/>
      <c r="E19" s="126"/>
      <c r="F19" s="126"/>
      <c r="G19" s="127"/>
      <c r="H19" s="128">
        <v>7.8</v>
      </c>
      <c r="I19" s="126">
        <v>2</v>
      </c>
      <c r="J19" s="125" t="s">
        <v>26</v>
      </c>
      <c r="K19" s="125">
        <f t="shared" si="0"/>
        <v>15.6</v>
      </c>
      <c r="L19" s="129">
        <v>1</v>
      </c>
      <c r="M19" s="142"/>
      <c r="N19" s="59" t="str">
        <f>Table1[[#This Row],[Name]]</f>
        <v>Ramik Brown</v>
      </c>
    </row>
    <row r="20" spans="1:14" ht="15" customHeight="1" x14ac:dyDescent="0.35">
      <c r="A20" s="116" t="s">
        <v>71</v>
      </c>
      <c r="B20" s="117" t="s">
        <v>24</v>
      </c>
      <c r="C20" s="117"/>
      <c r="D20" s="118"/>
      <c r="E20" s="119"/>
      <c r="F20" s="119"/>
      <c r="G20" s="120"/>
      <c r="H20" s="121">
        <v>9.4</v>
      </c>
      <c r="I20" s="119">
        <v>2</v>
      </c>
      <c r="J20" s="117" t="s">
        <v>72</v>
      </c>
      <c r="K20" s="117">
        <f t="shared" si="0"/>
        <v>56.400000000000006</v>
      </c>
      <c r="L20" s="123">
        <v>3</v>
      </c>
      <c r="M20" s="17"/>
      <c r="N20" s="59" t="str">
        <f>Table1[[#This Row],[Name]]</f>
        <v>Roundup</v>
      </c>
    </row>
    <row r="21" spans="1:14" x14ac:dyDescent="0.35">
      <c r="A21" s="132" t="s">
        <v>92</v>
      </c>
      <c r="B21" s="125" t="s">
        <v>265</v>
      </c>
      <c r="C21" s="131"/>
      <c r="D21" s="112"/>
      <c r="E21" s="126"/>
      <c r="F21" s="126"/>
      <c r="G21" s="127"/>
      <c r="H21" s="128">
        <v>25.86</v>
      </c>
      <c r="I21" s="126">
        <v>1.8</v>
      </c>
      <c r="J21" s="125" t="s">
        <v>72</v>
      </c>
      <c r="K21" s="125">
        <f t="shared" si="0"/>
        <v>46.548000000000002</v>
      </c>
      <c r="L21" s="129">
        <v>1</v>
      </c>
      <c r="M21" s="17"/>
      <c r="N21" s="59" t="str">
        <f>Table1[[#This Row],[Name]]</f>
        <v>Sevin</v>
      </c>
    </row>
    <row r="22" spans="1:14" x14ac:dyDescent="0.35">
      <c r="A22" s="116"/>
      <c r="B22" s="117"/>
      <c r="C22" s="117"/>
      <c r="D22" s="121"/>
      <c r="E22" s="119"/>
      <c r="F22" s="119"/>
      <c r="G22" s="120"/>
      <c r="H22" s="121"/>
      <c r="I22" s="119"/>
      <c r="J22" s="117"/>
      <c r="K22" s="122"/>
      <c r="L22" s="123"/>
      <c r="M22" s="17"/>
      <c r="N22" s="137"/>
    </row>
    <row r="23" spans="1:14" ht="12" customHeight="1" x14ac:dyDescent="0.35">
      <c r="K23" s="20">
        <f>SUM(Table1[[#Data],[#Totals],[$/Acre]])</f>
        <v>1146.1112580000001</v>
      </c>
    </row>
    <row r="24" spans="1:14" ht="12" customHeight="1" x14ac:dyDescent="0.35"/>
    <row r="25" spans="1:14" ht="12" customHeight="1" x14ac:dyDescent="0.35"/>
    <row r="26" spans="1:14" ht="15" customHeight="1" x14ac:dyDescent="0.35">
      <c r="A26" s="421" t="s">
        <v>334</v>
      </c>
      <c r="B26" s="422"/>
      <c r="C26" s="423" t="s">
        <v>25</v>
      </c>
      <c r="D26" s="424" t="s">
        <v>16</v>
      </c>
      <c r="E26" s="424" t="s">
        <v>10</v>
      </c>
      <c r="F26" s="424" t="s">
        <v>1</v>
      </c>
      <c r="G26" s="424" t="s">
        <v>19</v>
      </c>
      <c r="H26" s="7"/>
      <c r="I26" s="425" t="s">
        <v>327</v>
      </c>
    </row>
    <row r="27" spans="1:14" x14ac:dyDescent="0.35">
      <c r="A27" s="435" t="s">
        <v>165</v>
      </c>
      <c r="B27" s="436"/>
      <c r="C27" s="423"/>
      <c r="D27" s="423"/>
      <c r="E27" s="424"/>
      <c r="F27" s="424"/>
      <c r="G27" s="424"/>
      <c r="H27" s="437"/>
      <c r="I27" s="425"/>
    </row>
    <row r="28" spans="1:14" x14ac:dyDescent="0.35">
      <c r="A28" s="411" t="s">
        <v>88</v>
      </c>
      <c r="B28" s="71"/>
      <c r="C28" s="412" t="str">
        <f>IFERROR((VLOOKUP(A28,Table1[],2))," ")</f>
        <v>Fungicide</v>
      </c>
      <c r="D28" s="141">
        <f>IFERROR((VLOOKUP(A28,Table1[],8))," ")</f>
        <v>11.47</v>
      </c>
      <c r="E28" s="413">
        <f>IFERROR((VLOOKUP(A28,Table1[],9))," ")</f>
        <v>2.4</v>
      </c>
      <c r="F28" s="413" t="str">
        <f>IFERROR((VLOOKUP(A28,Table1[],10))," ")</f>
        <v>kg</v>
      </c>
      <c r="G28" s="414">
        <f>IFERROR((VLOOKUP(A28,Table1[],12))," ")</f>
        <v>4</v>
      </c>
      <c r="H28" s="53"/>
      <c r="I28" s="415">
        <f>IFERROR((G28*D28*E28)," ")</f>
        <v>110.11200000000001</v>
      </c>
    </row>
    <row r="29" spans="1:14" x14ac:dyDescent="0.35">
      <c r="A29" s="416" t="s">
        <v>87</v>
      </c>
      <c r="B29" s="417"/>
      <c r="C29" s="412" t="str">
        <f>IFERROR((VLOOKUP(A29,Table1[],2))," ")</f>
        <v>Fungicide</v>
      </c>
      <c r="D29" s="141">
        <f>IFERROR((VLOOKUP(A29,Table1[],8))," ")</f>
        <v>21.51</v>
      </c>
      <c r="E29" s="413">
        <f>IFERROR((VLOOKUP(A29,Table1[],9))," ")</f>
        <v>1.6</v>
      </c>
      <c r="F29" s="413" t="str">
        <f>IFERROR((VLOOKUP(A29,Table1[],10))," ")</f>
        <v>kg</v>
      </c>
      <c r="G29" s="414">
        <f>IFERROR((VLOOKUP(A29,Table1[],12))," ")</f>
        <v>1</v>
      </c>
      <c r="H29" s="53"/>
      <c r="I29" s="415">
        <f t="shared" ref="I29:I31" si="1">IFERROR((G29*D29*E29)," ")</f>
        <v>34.416000000000004</v>
      </c>
    </row>
    <row r="30" spans="1:14" x14ac:dyDescent="0.35">
      <c r="A30" s="411" t="s">
        <v>90</v>
      </c>
      <c r="B30" s="71"/>
      <c r="C30" s="412" t="str">
        <f>IFERROR((VLOOKUP(A30,Table1[],2))," ")</f>
        <v>Fungicide</v>
      </c>
      <c r="D30" s="141">
        <f>IFERROR((VLOOKUP(A30,Table1[],8))," ")</f>
        <v>670.63</v>
      </c>
      <c r="E30" s="413">
        <f>IFERROR((VLOOKUP(A30,Table1[],9))," ")</f>
        <v>0.06</v>
      </c>
      <c r="F30" s="413" t="str">
        <f>IFERROR((VLOOKUP(A30,Table1[],10))," ")</f>
        <v>kg</v>
      </c>
      <c r="G30" s="414">
        <f>IFERROR((VLOOKUP(A30,Table1[],12))," ")</f>
        <v>1</v>
      </c>
      <c r="H30" s="53"/>
      <c r="I30" s="415">
        <f t="shared" si="1"/>
        <v>40.2378</v>
      </c>
    </row>
    <row r="31" spans="1:14" x14ac:dyDescent="0.35">
      <c r="A31" s="418" t="s">
        <v>89</v>
      </c>
      <c r="B31" s="270"/>
      <c r="C31" s="267" t="str">
        <f>IFERROR((VLOOKUP(A31,Table1[],2))," ")</f>
        <v>Fungicide</v>
      </c>
      <c r="D31" s="141">
        <f>IFERROR((VLOOKUP(A31,Table1[],8))," ")</f>
        <v>258.04000000000002</v>
      </c>
      <c r="E31" s="271">
        <f>IFERROR((VLOOKUP(A31,Table1[],9))," ")</f>
        <v>0.14000000000000001</v>
      </c>
      <c r="F31" s="271" t="str">
        <f>IFERROR((VLOOKUP(A31,Table1[],10))," ")</f>
        <v>kg</v>
      </c>
      <c r="G31" s="272">
        <f>IFERROR((VLOOKUP(A31,Table1[],12))," ")</f>
        <v>2</v>
      </c>
      <c r="H31" s="265"/>
      <c r="I31" s="419">
        <f t="shared" si="1"/>
        <v>72.251200000000011</v>
      </c>
    </row>
    <row r="32" spans="1:14" x14ac:dyDescent="0.35">
      <c r="A32" s="432" t="s">
        <v>20</v>
      </c>
      <c r="B32" s="438"/>
      <c r="C32" s="86"/>
      <c r="D32" s="86"/>
      <c r="E32" s="439"/>
      <c r="F32" s="439"/>
      <c r="G32" s="440"/>
      <c r="H32" s="437"/>
      <c r="I32" s="441">
        <f>SUM(I28:I31)</f>
        <v>257.01700000000005</v>
      </c>
    </row>
    <row r="33" spans="1:9" x14ac:dyDescent="0.35">
      <c r="A33" s="432" t="s">
        <v>231</v>
      </c>
      <c r="B33" s="438"/>
      <c r="C33" s="86"/>
      <c r="D33" s="86"/>
      <c r="E33" s="439"/>
      <c r="F33" s="439"/>
      <c r="G33" s="440"/>
      <c r="H33" s="437"/>
      <c r="I33" s="441"/>
    </row>
    <row r="34" spans="1:9" x14ac:dyDescent="0.35">
      <c r="A34" s="411" t="s">
        <v>73</v>
      </c>
      <c r="B34" s="71"/>
      <c r="C34" s="412" t="str">
        <f>IFERROR((VLOOKUP(A34,Table1[],2))," ")</f>
        <v>Herbicide</v>
      </c>
      <c r="D34" s="141">
        <f>IFERROR((VLOOKUP(A34,Table1[],8))," ")</f>
        <v>15.44</v>
      </c>
      <c r="E34" s="413">
        <f>IFERROR((VLOOKUP(A34,Table1[],9))," ")</f>
        <v>1.7</v>
      </c>
      <c r="F34" s="413" t="str">
        <f>IFERROR((VLOOKUP(A34,Table1[],10))," ")</f>
        <v>litres</v>
      </c>
      <c r="G34" s="414">
        <f>IFERROR((VLOOKUP(A34,Table1[],12))," ")</f>
        <v>1</v>
      </c>
      <c r="H34" s="53"/>
      <c r="I34" s="415">
        <f t="shared" ref="I34:I36" si="2">IFERROR((G34*D34*E34)," ")</f>
        <v>26.247999999999998</v>
      </c>
    </row>
    <row r="35" spans="1:9" x14ac:dyDescent="0.35">
      <c r="A35" s="411" t="s">
        <v>74</v>
      </c>
      <c r="B35" s="71"/>
      <c r="C35" s="412" t="str">
        <f>IFERROR((VLOOKUP(A35,Table1[],2))," ")</f>
        <v>Herbicide</v>
      </c>
      <c r="D35" s="141">
        <f>IFERROR((VLOOKUP(A35,Table1[],8))," ")</f>
        <v>442.85</v>
      </c>
      <c r="E35" s="413">
        <f>IFERROR((VLOOKUP(A35,Table1[],9))," ")</f>
        <v>0.15</v>
      </c>
      <c r="F35" s="413" t="str">
        <f>IFERROR((VLOOKUP(A35,Table1[],10))," ")</f>
        <v>litres</v>
      </c>
      <c r="G35" s="414">
        <f>IFERROR((VLOOKUP(A35,Table1[],12))," ")</f>
        <v>1</v>
      </c>
      <c r="H35" s="53"/>
      <c r="I35" s="415">
        <f t="shared" si="2"/>
        <v>66.427499999999995</v>
      </c>
    </row>
    <row r="36" spans="1:9" x14ac:dyDescent="0.35">
      <c r="A36" s="411" t="s">
        <v>71</v>
      </c>
      <c r="B36" s="71"/>
      <c r="C36" s="412" t="str">
        <f>IFERROR((VLOOKUP(A36,Table1[],2))," ")</f>
        <v>Herbicide</v>
      </c>
      <c r="D36" s="141">
        <f>IFERROR((VLOOKUP(A36,Table1[],8))," ")</f>
        <v>9.4</v>
      </c>
      <c r="E36" s="413">
        <f>IFERROR((VLOOKUP(A36,Table1[],9))," ")</f>
        <v>2</v>
      </c>
      <c r="F36" s="413" t="str">
        <f>IFERROR((VLOOKUP(A36,Table1[],10))," ")</f>
        <v>litres</v>
      </c>
      <c r="G36" s="414">
        <f>IFERROR((VLOOKUP(A36,Table1[],12))," ")</f>
        <v>3</v>
      </c>
      <c r="H36" s="53"/>
      <c r="I36" s="415">
        <f t="shared" si="2"/>
        <v>56.400000000000006</v>
      </c>
    </row>
    <row r="37" spans="1:9" x14ac:dyDescent="0.35">
      <c r="A37" s="432" t="s">
        <v>20</v>
      </c>
      <c r="B37" s="438"/>
      <c r="C37" s="86"/>
      <c r="D37" s="86"/>
      <c r="E37" s="439"/>
      <c r="F37" s="439"/>
      <c r="G37" s="440"/>
      <c r="H37" s="437"/>
      <c r="I37" s="441">
        <f>SUM(I34:I36)</f>
        <v>149.07550000000001</v>
      </c>
    </row>
    <row r="38" spans="1:9" x14ac:dyDescent="0.35">
      <c r="A38" s="432" t="s">
        <v>163</v>
      </c>
      <c r="B38" s="438"/>
      <c r="C38" s="86"/>
      <c r="D38" s="86"/>
      <c r="E38" s="439"/>
      <c r="F38" s="439"/>
      <c r="G38" s="440"/>
      <c r="H38" s="437"/>
      <c r="I38" s="441"/>
    </row>
    <row r="39" spans="1:9" x14ac:dyDescent="0.35">
      <c r="A39" s="411" t="s">
        <v>83</v>
      </c>
      <c r="B39" s="71"/>
      <c r="C39" s="412" t="str">
        <f>IFERROR((VLOOKUP(A39,Table1[],2))," ")</f>
        <v>Insecticide</v>
      </c>
      <c r="D39" s="141">
        <f>IFERROR((VLOOKUP(A39,Table1[],8))," ")</f>
        <v>80.150000000000006</v>
      </c>
      <c r="E39" s="413">
        <f>IFERROR((VLOOKUP(A39,Table1[],9))," ")</f>
        <v>0.09</v>
      </c>
      <c r="F39" s="413" t="str">
        <f>IFERROR((VLOOKUP(A39,Table1[],10))," ")</f>
        <v>litres</v>
      </c>
      <c r="G39" s="414">
        <f>IFERROR((VLOOKUP(A39,Table1[],12))," ")</f>
        <v>1</v>
      </c>
      <c r="H39" s="53"/>
      <c r="I39" s="415">
        <f t="shared" ref="I39:I43" si="3">IFERROR((G39*D39*E39)," ")</f>
        <v>7.2134999999999998</v>
      </c>
    </row>
    <row r="40" spans="1:9" x14ac:dyDescent="0.35">
      <c r="A40" s="411" t="s">
        <v>85</v>
      </c>
      <c r="B40" s="71"/>
      <c r="C40" s="412" t="str">
        <f>IFERROR((VLOOKUP(A40,Table1[],2))," ")</f>
        <v>Insecticide</v>
      </c>
      <c r="D40" s="141">
        <f>IFERROR((VLOOKUP(A40,Table1[],8))," ")</f>
        <v>490.42</v>
      </c>
      <c r="E40" s="413">
        <f>IFERROR((VLOOKUP(A40,Table1[],9))," ")</f>
        <v>3.2399999999999998E-2</v>
      </c>
      <c r="F40" s="413" t="str">
        <f>IFERROR((VLOOKUP(A40,Table1[],10))," ")</f>
        <v>kg</v>
      </c>
      <c r="G40" s="414">
        <f>IFERROR((VLOOKUP(A40,Table1[],12))," ")</f>
        <v>1</v>
      </c>
      <c r="H40" s="53"/>
      <c r="I40" s="415">
        <f t="shared" si="3"/>
        <v>15.889607999999999</v>
      </c>
    </row>
    <row r="41" spans="1:9" x14ac:dyDescent="0.35">
      <c r="A41" s="411" t="s">
        <v>86</v>
      </c>
      <c r="B41" s="71"/>
      <c r="C41" s="412" t="str">
        <f>IFERROR((VLOOKUP(A41,Table1[],2))," ")</f>
        <v>Insecticide</v>
      </c>
      <c r="D41" s="141">
        <f>IFERROR((VLOOKUP(A41,Table1[],8))," ")</f>
        <v>388.71</v>
      </c>
      <c r="E41" s="413">
        <f>IFERROR((VLOOKUP(A41,Table1[],9))," ")</f>
        <v>0.17</v>
      </c>
      <c r="F41" s="413" t="str">
        <f>IFERROR((VLOOKUP(A41,Table1[],10))," ")</f>
        <v>kg</v>
      </c>
      <c r="G41" s="414">
        <f>IFERROR((VLOOKUP(A41,Table1[],12))," ")</f>
        <v>1</v>
      </c>
      <c r="H41" s="53"/>
      <c r="I41" s="415">
        <f t="shared" si="3"/>
        <v>66.080700000000007</v>
      </c>
    </row>
    <row r="42" spans="1:9" x14ac:dyDescent="0.35">
      <c r="A42" s="411" t="s">
        <v>84</v>
      </c>
      <c r="B42" s="71"/>
      <c r="C42" s="412" t="str">
        <f>IFERROR((VLOOKUP(A42,Table1[],2))," ")</f>
        <v>Insecticide</v>
      </c>
      <c r="D42" s="141">
        <f>IFERROR((VLOOKUP(A42,Table1[],8))," ")</f>
        <v>82.88</v>
      </c>
      <c r="E42" s="413">
        <f>IFERROR((VLOOKUP(A42,Table1[],9))," ")</f>
        <v>0.68</v>
      </c>
      <c r="F42" s="413" t="str">
        <f>IFERROR((VLOOKUP(A42,Table1[],10))," ")</f>
        <v>kg</v>
      </c>
      <c r="G42" s="414">
        <f>IFERROR((VLOOKUP(A42,Table1[],12))," ")</f>
        <v>2</v>
      </c>
      <c r="H42" s="53"/>
      <c r="I42" s="415">
        <f t="shared" si="3"/>
        <v>112.71680000000001</v>
      </c>
    </row>
    <row r="43" spans="1:9" x14ac:dyDescent="0.35">
      <c r="A43" s="411" t="s">
        <v>82</v>
      </c>
      <c r="B43" s="71"/>
      <c r="C43" s="412" t="str">
        <f>IFERROR((VLOOKUP(A43,Table1[],2))," ")</f>
        <v>Insecticide</v>
      </c>
      <c r="D43" s="141">
        <f>IFERROR((VLOOKUP(A43,Table1[],8))," ")</f>
        <v>1.66</v>
      </c>
      <c r="E43" s="413">
        <f>IFERROR((VLOOKUP(A43,Table1[],9))," ")</f>
        <v>24.3</v>
      </c>
      <c r="F43" s="413" t="str">
        <f>IFERROR((VLOOKUP(A43,Table1[],10))," ")</f>
        <v>litres</v>
      </c>
      <c r="G43" s="414">
        <f>IFERROR((VLOOKUP(A43,Table1[],12))," ")</f>
        <v>1</v>
      </c>
      <c r="H43" s="53"/>
      <c r="I43" s="415">
        <f t="shared" si="3"/>
        <v>40.338000000000001</v>
      </c>
    </row>
    <row r="44" spans="1:9" x14ac:dyDescent="0.35">
      <c r="A44" s="432" t="s">
        <v>20</v>
      </c>
      <c r="B44" s="438"/>
      <c r="C44" s="86"/>
      <c r="D44" s="86"/>
      <c r="E44" s="439"/>
      <c r="F44" s="439"/>
      <c r="G44" s="440"/>
      <c r="H44" s="437"/>
      <c r="I44" s="441">
        <f>SUM(I39:I43)</f>
        <v>242.238608</v>
      </c>
    </row>
    <row r="45" spans="1:9" x14ac:dyDescent="0.35">
      <c r="A45" s="432" t="s">
        <v>164</v>
      </c>
      <c r="B45" s="438"/>
      <c r="C45" s="86"/>
      <c r="D45" s="86"/>
      <c r="E45" s="439"/>
      <c r="F45" s="439"/>
      <c r="G45" s="440"/>
      <c r="H45" s="437"/>
      <c r="I45" s="441"/>
    </row>
    <row r="46" spans="1:9" x14ac:dyDescent="0.35">
      <c r="A46" s="411" t="s">
        <v>94</v>
      </c>
      <c r="B46" s="71"/>
      <c r="C46" s="412" t="str">
        <f>IFERROR((VLOOKUP(A46,Table1[],2))," ")</f>
        <v>Growth Reg</v>
      </c>
      <c r="D46" s="141">
        <f>IFERROR((VLOOKUP(A46,Table1[],8))," ")</f>
        <v>208.15</v>
      </c>
      <c r="E46" s="413">
        <f>IFERROR((VLOOKUP(A46,Table1[],9))," ")</f>
        <v>0.54700000000000004</v>
      </c>
      <c r="F46" s="413" t="str">
        <f>IFERROR((VLOOKUP(A46,Table1[],10))," ")</f>
        <v>kg</v>
      </c>
      <c r="G46" s="414">
        <f>IFERROR((VLOOKUP(A46,Table1[],12))," ")</f>
        <v>3</v>
      </c>
      <c r="H46" s="53"/>
      <c r="I46" s="415">
        <f t="shared" ref="I46:I49" si="4">IFERROR((G46*D46*E46)," ")</f>
        <v>341.57415000000003</v>
      </c>
    </row>
    <row r="47" spans="1:9" x14ac:dyDescent="0.35">
      <c r="A47" s="411" t="s">
        <v>91</v>
      </c>
      <c r="B47" s="71"/>
      <c r="C47" s="412" t="str">
        <f>IFERROR((VLOOKUP(A47,Table1[],2))," ")</f>
        <v>Growth Reg</v>
      </c>
      <c r="D47" s="141">
        <f>IFERROR((VLOOKUP(A47,Table1[],8))," ")</f>
        <v>1.53</v>
      </c>
      <c r="E47" s="413">
        <f>IFERROR((VLOOKUP(A47,Table1[],9))," ")</f>
        <v>1.6</v>
      </c>
      <c r="F47" s="413" t="str">
        <f>IFERROR((VLOOKUP(A47,Table1[],10))," ")</f>
        <v>litres</v>
      </c>
      <c r="G47" s="414">
        <f>IFERROR((VLOOKUP(A47,Table1[],12))," ")</f>
        <v>1</v>
      </c>
      <c r="H47" s="53"/>
      <c r="I47" s="415">
        <f t="shared" si="4"/>
        <v>2.4480000000000004</v>
      </c>
    </row>
    <row r="48" spans="1:9" x14ac:dyDescent="0.35">
      <c r="A48" s="411" t="s">
        <v>93</v>
      </c>
      <c r="B48" s="71"/>
      <c r="C48" s="412" t="str">
        <f>IFERROR((VLOOKUP(A48,Table1[],2))," ")</f>
        <v>Growth Reg</v>
      </c>
      <c r="D48" s="141">
        <f>IFERROR((VLOOKUP(A48,Table1[],8))," ")</f>
        <v>91.61</v>
      </c>
      <c r="E48" s="413">
        <f>IFERROR((VLOOKUP(A48,Table1[],9))," ")</f>
        <v>1</v>
      </c>
      <c r="F48" s="413" t="str">
        <f>IFERROR((VLOOKUP(A48,Table1[],10))," ")</f>
        <v>litres</v>
      </c>
      <c r="G48" s="414">
        <f>IFERROR((VLOOKUP(A48,Table1[],12))," ")</f>
        <v>1</v>
      </c>
      <c r="H48" s="53"/>
      <c r="I48" s="415">
        <f t="shared" si="4"/>
        <v>91.61</v>
      </c>
    </row>
    <row r="49" spans="1:9" x14ac:dyDescent="0.35">
      <c r="A49" s="411" t="s">
        <v>92</v>
      </c>
      <c r="B49" s="71"/>
      <c r="C49" s="412" t="str">
        <f>IFERROR((VLOOKUP(A49,Table1[],2))," ")</f>
        <v>Growth Reg</v>
      </c>
      <c r="D49" s="141">
        <f>IFERROR((VLOOKUP(A49,Table1[],8))," ")</f>
        <v>25.86</v>
      </c>
      <c r="E49" s="413">
        <f>IFERROR((VLOOKUP(A49,Table1[],9))," ")</f>
        <v>1.8</v>
      </c>
      <c r="F49" s="413" t="str">
        <f>IFERROR((VLOOKUP(A49,Table1[],10))," ")</f>
        <v>litres</v>
      </c>
      <c r="G49" s="414">
        <f>IFERROR((VLOOKUP(A49,Table1[],12))," ")</f>
        <v>1</v>
      </c>
      <c r="H49" s="53"/>
      <c r="I49" s="415">
        <f t="shared" si="4"/>
        <v>46.548000000000002</v>
      </c>
    </row>
    <row r="50" spans="1:9" x14ac:dyDescent="0.35">
      <c r="A50" s="432" t="s">
        <v>20</v>
      </c>
      <c r="B50" s="438"/>
      <c r="C50" s="86"/>
      <c r="D50" s="86"/>
      <c r="E50" s="439"/>
      <c r="F50" s="439"/>
      <c r="G50" s="440"/>
      <c r="H50" s="437"/>
      <c r="I50" s="441">
        <f>SUM(I46:I49)</f>
        <v>482.18015000000003</v>
      </c>
    </row>
    <row r="51" spans="1:9" x14ac:dyDescent="0.35">
      <c r="A51" s="432" t="s">
        <v>232</v>
      </c>
      <c r="B51" s="438"/>
      <c r="C51" s="86"/>
      <c r="D51" s="86"/>
      <c r="E51" s="439"/>
      <c r="F51" s="439"/>
      <c r="G51" s="440"/>
      <c r="H51" s="437"/>
      <c r="I51" s="441"/>
    </row>
    <row r="52" spans="1:9" x14ac:dyDescent="0.35">
      <c r="A52" s="411" t="s">
        <v>70</v>
      </c>
      <c r="B52" s="71"/>
      <c r="C52" s="412" t="str">
        <f>IFERROR((VLOOKUP(A52,Table1[],2))," ")</f>
        <v>Rodent</v>
      </c>
      <c r="D52" s="141">
        <f>IFERROR((VLOOKUP(A52,Table1[],8))," ")</f>
        <v>7.8</v>
      </c>
      <c r="E52" s="413">
        <f>IFERROR((VLOOKUP(A52,Table1[],9))," ")</f>
        <v>2</v>
      </c>
      <c r="F52" s="413" t="str">
        <f>IFERROR((VLOOKUP(A52,Table1[],10))," ")</f>
        <v>kg</v>
      </c>
      <c r="G52" s="414">
        <f>IFERROR((VLOOKUP(A52,Table1[],12))," ")</f>
        <v>1</v>
      </c>
      <c r="H52" s="53"/>
      <c r="I52" s="415">
        <f t="shared" ref="I52" si="5">IFERROR((G52*D52*E52)," ")</f>
        <v>15.6</v>
      </c>
    </row>
    <row r="53" spans="1:9" x14ac:dyDescent="0.35">
      <c r="A53" s="432" t="s">
        <v>20</v>
      </c>
      <c r="B53" s="438"/>
      <c r="C53" s="86"/>
      <c r="D53" s="86"/>
      <c r="E53" s="439"/>
      <c r="F53" s="439"/>
      <c r="G53" s="440"/>
      <c r="H53" s="437"/>
      <c r="I53" s="441">
        <f>SUM(I52)</f>
        <v>15.6</v>
      </c>
    </row>
    <row r="54" spans="1:9" ht="15" thickBot="1" x14ac:dyDescent="0.4">
      <c r="A54" s="427" t="s">
        <v>304</v>
      </c>
      <c r="B54" s="426"/>
      <c r="C54" s="426"/>
      <c r="D54" s="426"/>
      <c r="E54" s="426"/>
      <c r="F54" s="426"/>
      <c r="G54" s="426"/>
      <c r="H54" s="426"/>
      <c r="I54" s="443">
        <f>I53+I50+I44+I37+I32</f>
        <v>1146.1112580000001</v>
      </c>
    </row>
    <row r="55" spans="1:9" ht="15" thickTop="1" x14ac:dyDescent="0.35"/>
  </sheetData>
  <mergeCells count="2">
    <mergeCell ref="A2:K2"/>
    <mergeCell ref="A1:K1"/>
  </mergeCells>
  <dataValidations count="1">
    <dataValidation type="list" allowBlank="1" showInputMessage="1" showErrorMessage="1" sqref="A28:A31 A34:A36 A46:A49 A39:A43 A52 B28:B53" xr:uid="{00000000-0002-0000-0800-000000000000}">
      <formula1>$N$5:$N$22</formula1>
    </dataValidation>
  </dataValidations>
  <pageMargins left="0.7" right="0.7" top="0.75" bottom="0.75" header="0.3" footer="0.3"/>
  <pageSetup scale="6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Budget Objectives &amp; Assumptions</vt:lpstr>
      <vt:lpstr>Workbook  Instructions</vt:lpstr>
      <vt:lpstr>Producer Input</vt:lpstr>
      <vt:lpstr> Budget Fert &amp; Spray Inputs</vt:lpstr>
      <vt:lpstr>Budget Operations &amp; Investment</vt:lpstr>
      <vt:lpstr>Ambrosia Budget Summary</vt:lpstr>
      <vt:lpstr>Price &amp; Yield Analysis</vt:lpstr>
      <vt:lpstr>Fert &amp; Micro Nutrients Table</vt:lpstr>
      <vt:lpstr>Chem Data Table</vt:lpstr>
      <vt:lpstr>Operation Sched</vt:lpstr>
      <vt:lpstr>Mach Oper, Rep &amp;  Inv</vt:lpstr>
      <vt:lpstr>Chem</vt:lpstr>
      <vt:lpstr>Fuel_Cents_Litre</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Cheung, Ryan AGRI:EX</cp:lastModifiedBy>
  <cp:lastPrinted>2020-12-05T21:13:09Z</cp:lastPrinted>
  <dcterms:created xsi:type="dcterms:W3CDTF">2016-02-12T15:43:20Z</dcterms:created>
  <dcterms:modified xsi:type="dcterms:W3CDTF">2020-12-10T23:05:42Z</dcterms:modified>
</cp:coreProperties>
</file>