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bcgov-my.sharepoint.com/personal/ahmed_lasisi_gov_bc_ca/Documents/Desktop/PROJECT/TOOLS/Lime Economics/"/>
    </mc:Choice>
  </mc:AlternateContent>
  <xr:revisionPtr revIDLastSave="11" documentId="8_{711834F1-489E-4472-ACA4-E6899E41376B}" xr6:coauthVersionLast="47" xr6:coauthVersionMax="47" xr10:uidLastSave="{BEF3BFAD-BEA9-4335-835A-84C89F8C1F44}"/>
  <bookViews>
    <workbookView xWindow="-28920" yWindow="-990" windowWidth="29040" windowHeight="15720" xr2:uid="{00000000-000D-0000-FFFF-FFFF00000000}"/>
  </bookViews>
  <sheets>
    <sheet name="Read Me" sheetId="7" r:id="rId1"/>
    <sheet name="Liming Economic Calculator" sheetId="1" r:id="rId2"/>
    <sheet name="Appendix" sheetId="4" r:id="rId3"/>
    <sheet name="Backend Calculation" sheetId="3"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4" l="1"/>
  <c r="H3" i="3"/>
  <c r="I3" i="3"/>
  <c r="J3" i="3"/>
  <c r="K3" i="3"/>
  <c r="L3" i="3"/>
  <c r="H4" i="3"/>
  <c r="I4" i="3"/>
  <c r="J4" i="3"/>
  <c r="K4" i="3"/>
  <c r="L4" i="3"/>
  <c r="H5" i="3"/>
  <c r="I5" i="3"/>
  <c r="J5" i="3"/>
  <c r="K5" i="3"/>
  <c r="L5" i="3"/>
  <c r="H6" i="3"/>
  <c r="I6" i="3"/>
  <c r="J6" i="3"/>
  <c r="K6" i="3"/>
  <c r="L6" i="3"/>
  <c r="H7" i="3"/>
  <c r="I7" i="3"/>
  <c r="J7" i="3"/>
  <c r="K7" i="3"/>
  <c r="L7" i="3"/>
  <c r="C12" i="3"/>
  <c r="M4" i="3" l="1"/>
  <c r="B18" i="1" s="1"/>
  <c r="M6" i="3"/>
  <c r="M7" i="3"/>
  <c r="M5" i="3"/>
  <c r="O4" i="3" l="1"/>
  <c r="O5" i="3"/>
  <c r="B19" i="1"/>
  <c r="N7" i="3"/>
  <c r="B21" i="1"/>
  <c r="N6" i="3"/>
  <c r="B20" i="1"/>
  <c r="O6" i="3"/>
  <c r="N4" i="3"/>
  <c r="O7" i="3"/>
  <c r="N5" i="3"/>
  <c r="P4" i="3" l="1"/>
  <c r="C18" i="1" s="1"/>
  <c r="P5" i="3"/>
  <c r="C19" i="1" s="1"/>
  <c r="P6" i="3"/>
  <c r="C20" i="1" s="1"/>
  <c r="P7" i="3"/>
  <c r="C21" i="1" s="1"/>
  <c r="C8" i="3"/>
  <c r="D8" i="3" s="1"/>
  <c r="B13" i="1" s="1"/>
  <c r="H13" i="3" l="1"/>
  <c r="I13" i="3" s="1"/>
  <c r="C28" i="1" s="1"/>
  <c r="H14" i="3"/>
  <c r="I14" i="3" s="1"/>
  <c r="C29" i="1" s="1"/>
  <c r="H12" i="3"/>
  <c r="I12" i="3" s="1"/>
  <c r="C27" i="1" s="1"/>
  <c r="K11" i="1" l="1"/>
  <c r="G5" i="3"/>
  <c r="A19" i="1" s="1"/>
  <c r="G6" i="3"/>
  <c r="A20" i="1" s="1"/>
  <c r="G7" i="3"/>
  <c r="A21" i="1" s="1"/>
  <c r="G4" i="3"/>
  <c r="A18" i="1" s="1"/>
  <c r="G3" i="3"/>
  <c r="Q7" i="3"/>
  <c r="Q6" i="3"/>
  <c r="Q5" i="3"/>
  <c r="Q4" i="3"/>
  <c r="R4" i="3" s="1"/>
  <c r="R5" i="3" l="1"/>
  <c r="D19" i="1" s="1"/>
  <c r="T5" i="3" l="1"/>
  <c r="E19" i="1" s="1"/>
  <c r="S5" i="3"/>
  <c r="C14" i="3"/>
  <c r="K13" i="1" s="1"/>
  <c r="T4" i="3"/>
  <c r="E18" i="1" s="1"/>
  <c r="R6" i="3"/>
  <c r="T6" i="3"/>
  <c r="E20" i="1" s="1"/>
  <c r="S4" i="3"/>
  <c r="S6" i="3"/>
  <c r="T7" i="3"/>
  <c r="E21" i="1" s="1"/>
  <c r="S7" i="3"/>
  <c r="R7" i="3"/>
  <c r="D21" i="1" s="1"/>
  <c r="C13" i="3" l="1"/>
  <c r="K12" i="1" s="1"/>
  <c r="K14" i="3" a="1"/>
  <c r="J13" i="3" a="1"/>
  <c r="K12" i="3" a="1"/>
  <c r="J14" i="3" a="1"/>
  <c r="J12" i="3" a="1"/>
  <c r="K13" i="3" a="1"/>
  <c r="D20" i="1"/>
  <c r="D18" i="1"/>
  <c r="U6" i="3"/>
  <c r="F20" i="1" s="1"/>
  <c r="U4" i="3"/>
  <c r="F18" i="1" s="1"/>
  <c r="U7" i="3"/>
  <c r="F21" i="1" s="1"/>
  <c r="U5" i="3"/>
  <c r="F19" i="1" s="1"/>
  <c r="C17" i="3" l="1"/>
  <c r="K16" i="1" s="1"/>
  <c r="C21" i="3"/>
  <c r="K20" i="1" s="1"/>
  <c r="C19" i="3"/>
  <c r="K18" i="1" s="1"/>
  <c r="C15" i="3"/>
  <c r="C20" i="3"/>
  <c r="K19" i="1" s="1"/>
  <c r="C16" i="3" l="1"/>
  <c r="K15" i="1" s="1"/>
  <c r="K14" i="1"/>
  <c r="C22" i="3"/>
  <c r="K21" i="1" s="1"/>
  <c r="C18" i="3"/>
  <c r="K17" i="1" s="1"/>
  <c r="K14" i="3"/>
  <c r="J14" i="3"/>
  <c r="K13" i="3"/>
  <c r="J13" i="3"/>
  <c r="K12" i="3"/>
  <c r="J12" i="3"/>
  <c r="F27" i="1" l="1"/>
  <c r="N12" i="3"/>
  <c r="G27" i="1" s="1"/>
  <c r="M12" i="3"/>
  <c r="D27" i="1"/>
  <c r="L12" i="3"/>
  <c r="L13" i="3"/>
  <c r="D28" i="1"/>
  <c r="F28" i="1"/>
  <c r="M13" i="3"/>
  <c r="N13" i="3"/>
  <c r="G28" i="1" s="1"/>
  <c r="D29" i="1"/>
  <c r="L14" i="3"/>
  <c r="N14" i="3"/>
  <c r="G29" i="1" s="1"/>
  <c r="M14" i="3"/>
  <c r="F29"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<sst xmlns="http://schemas.openxmlformats.org/spreadsheetml/2006/main" count="176" uniqueCount="141">
  <si>
    <t>Current soil pH</t>
  </si>
  <si>
    <t>Required pure lime equivalent (t/ac)</t>
  </si>
  <si>
    <t>Soil texture</t>
  </si>
  <si>
    <t>Crop</t>
  </si>
  <si>
    <t>Target soil pH</t>
  </si>
  <si>
    <t>Best economic product</t>
  </si>
  <si>
    <t>Corn silage</t>
  </si>
  <si>
    <t>Lowest total cost product</t>
  </si>
  <si>
    <t>Forage grass</t>
  </si>
  <si>
    <t>Alfalfa</t>
  </si>
  <si>
    <t>Barley</t>
  </si>
  <si>
    <t>Field size (ac)</t>
  </si>
  <si>
    <t>Net return ($/ac)</t>
  </si>
  <si>
    <t>Canola</t>
  </si>
  <si>
    <t>Benefit-cost ratio</t>
  </si>
  <si>
    <t>Wheat</t>
  </si>
  <si>
    <t>Payback period (years)</t>
  </si>
  <si>
    <t>Decision flag</t>
  </si>
  <si>
    <t>Scenario</t>
  </si>
  <si>
    <t>Best B:C</t>
  </si>
  <si>
    <t>Comment</t>
  </si>
  <si>
    <t>Years of liming benefit</t>
  </si>
  <si>
    <t>Low</t>
  </si>
  <si>
    <t>Medium</t>
  </si>
  <si>
    <t>High</t>
  </si>
  <si>
    <t>Product</t>
  </si>
  <si>
    <t>Fineness factor</t>
  </si>
  <si>
    <t>B:C</t>
  </si>
  <si>
    <t>Payback yr</t>
  </si>
  <si>
    <t>Rank</t>
  </si>
  <si>
    <t>Wood ash</t>
  </si>
  <si>
    <t>Custom product 1</t>
  </si>
  <si>
    <t>Custom product 2</t>
  </si>
  <si>
    <t>https://content.ces.ncsu.edu/soil-acidity-and-liming-basic-information-for-farmers-and-gardeners</t>
  </si>
  <si>
    <t>https://extension.msstate.edu/publications/agricultural-limestones-neutralizing-value</t>
  </si>
  <si>
    <t>https://nrcca.cals.cornell.edu/nutrient/CA5/CA0541.php</t>
  </si>
  <si>
    <t>https://extensionpubs.unl.edu/publication/g1504/html/view</t>
  </si>
  <si>
    <t>Marl</t>
  </si>
  <si>
    <t>Hauling ($/ac)</t>
  </si>
  <si>
    <t>Hauling ($/ton)</t>
  </si>
  <si>
    <t>Required Lime Rate (ton/ac)</t>
  </si>
  <si>
    <t>Crop price ($/ton)</t>
  </si>
  <si>
    <t>Recommended product rate (ton/ac)</t>
  </si>
  <si>
    <t>Product cost ($/ac)</t>
  </si>
  <si>
    <t>Total cost ($/ac)</t>
  </si>
  <si>
    <t>Lime factor (ton/ac)</t>
  </si>
  <si>
    <t>A. SOIL AND CROP INPUT</t>
  </si>
  <si>
    <t>Payback (year)</t>
  </si>
  <si>
    <t>B. LIME SOURCE, COST, &amp; LOGISTICS</t>
  </si>
  <si>
    <t>C. RECOMMENDATION SUMMARY</t>
  </si>
  <si>
    <t>D. SENSITIVITY: YIELD RESPONSE SCENARIOS</t>
  </si>
  <si>
    <t>Best Product</t>
  </si>
  <si>
    <t>Yield Increase ton/ac/yr</t>
  </si>
  <si>
    <t>Added Revenue ($/ac)</t>
  </si>
  <si>
    <t>APPENDIX</t>
  </si>
  <si>
    <t>Price ($/ton)</t>
  </si>
  <si>
    <t>CCE (%)</t>
  </si>
  <si>
    <t>https://lgpress.clemson.edu/publication/basis-of-selecting-a-lime-material/</t>
  </si>
  <si>
    <t>Yang R, Mitchell CC, Howe JA. Relative neutralizing value as an indicator of actual liming ability of limestone and byproduct materials. Commun. Soil Sci. Plant Anal. 2018; 49:1144–56</t>
  </si>
  <si>
    <t>Total product for field (ton)</t>
  </si>
  <si>
    <t>Total field cost ($)</t>
  </si>
  <si>
    <t>PURPOSE</t>
  </si>
  <si>
    <t>COLOR KEY</t>
  </si>
  <si>
    <t>HOW TO USE</t>
  </si>
  <si>
    <t>Orange cell = Select from dropdown</t>
  </si>
  <si>
    <t>Yellow cell= Your input — replace with your local soil and economic data</t>
  </si>
  <si>
    <t>Expected yield increase (tons/ac/yr)</t>
  </si>
  <si>
    <t>Required pure lime equivalent (tons/ac)</t>
  </si>
  <si>
    <t>Recommended product rate (tons/ac)</t>
  </si>
  <si>
    <t>Best Net Return ($/ac)</t>
  </si>
  <si>
    <t>Sandy/Sandy loam/Loamy sand</t>
  </si>
  <si>
    <t>Loam/silt loam/silty clay loam</t>
  </si>
  <si>
    <t>Clay/clay loam/silty clay</t>
  </si>
  <si>
    <t>Total product cost ($/ac)</t>
  </si>
  <si>
    <t>Total product cost for field ($)</t>
  </si>
  <si>
    <r>
      <t>Calcitic lime (CaCO</t>
    </r>
    <r>
      <rPr>
        <vertAlign val="subscript"/>
        <sz val="12"/>
        <rFont val="BC Sans"/>
      </rPr>
      <t>3</t>
    </r>
    <r>
      <rPr>
        <sz val="12"/>
        <rFont val="BC Sans"/>
      </rPr>
      <t>)</t>
    </r>
  </si>
  <si>
    <r>
      <t>Slaked/hydrated lime (Ca(OH)</t>
    </r>
    <r>
      <rPr>
        <vertAlign val="subscript"/>
        <sz val="12"/>
        <rFont val="BC Sans"/>
      </rPr>
      <t>2</t>
    </r>
    <r>
      <rPr>
        <sz val="12"/>
        <rFont val="BC Sans"/>
      </rPr>
      <t>)</t>
    </r>
  </si>
  <si>
    <t>D. RECOMMENDATION SUMMARY</t>
  </si>
  <si>
    <t>C. RESULTS: PRODUCT COMPARISON</t>
  </si>
  <si>
    <t>E. SENSITIVITY: YIELD RESPONSE SCENARIOS</t>
  </si>
  <si>
    <t>CAVEATS</t>
  </si>
  <si>
    <r>
      <rPr>
        <b/>
        <sz val="12"/>
        <color theme="1"/>
        <rFont val="BC Sans"/>
      </rPr>
      <t>Section B</t>
    </r>
    <r>
      <rPr>
        <sz val="12"/>
        <color theme="1"/>
        <rFont val="BC Sans"/>
      </rPr>
      <t>: Select your lime sources and enter their economic information. Consult the label on the liming container and note the Calcium Carbonate Equivalence (CCE) and fineness factor. If you do not have it on the label, use the default on the “Appendix” sheet.</t>
    </r>
  </si>
  <si>
    <t>I. LIME PROPERTIES</t>
  </si>
  <si>
    <t>NOTE TO USERS</t>
  </si>
  <si>
    <t>These cells can not be override</t>
  </si>
  <si>
    <t>Screen/mesh size</t>
  </si>
  <si>
    <t>8 mesh</t>
  </si>
  <si>
    <t>20 mesh</t>
  </si>
  <si>
    <t>60 mesh</t>
  </si>
  <si>
    <t>% Passing sieve</t>
  </si>
  <si>
    <t>II. CROP RESPONSE TO pH</t>
  </si>
  <si>
    <r>
      <rPr>
        <b/>
        <sz val="12"/>
        <color theme="1"/>
        <rFont val="BC Sans"/>
      </rPr>
      <t>Calcium Carbonate Equivalent (CCE):</t>
    </r>
    <r>
      <rPr>
        <sz val="12"/>
        <color theme="1"/>
        <rFont val="BC Sans"/>
      </rPr>
      <t xml:space="preserve"> The neutralizing value of a liming material relative to pure calcium carbonate (100%). Printed on the lime tag/analysis</t>
    </r>
  </si>
  <si>
    <t>Incorporation depth (inch)</t>
  </si>
  <si>
    <t>Lime factor (tons/ac)</t>
  </si>
  <si>
    <t>III. SOIL TEXTURE ASSUMPTION</t>
  </si>
  <si>
    <r>
      <rPr>
        <b/>
        <sz val="12"/>
        <color theme="1"/>
        <rFont val="BC Sans"/>
      </rPr>
      <t>Fineness Factor:</t>
    </r>
    <r>
      <rPr>
        <sz val="12"/>
        <color theme="1"/>
        <rFont val="BC Sans"/>
      </rPr>
      <t xml:space="preserve"> The share of the material fine enough to react with soil within roughly a 3-4 year window. Coarser lime reacts slowly over several years while fine reacts fast. If the FF is not provided on the label, use the following steps to determine it
   a. Collect 3 sieve sizes (8 mesh, 20 mesh and 60 mesh)
   b. Collect a known weight sample of the lime product and pass through each sieve starting with 8 mesh then 20 mesh and lastly 60 mesh
   c. Determine the weight of product passing through each sieve and divide by the total product weight (% passing sieve)
   d. Enter the % passing sieve in “c” into the table below</t>
    </r>
  </si>
  <si>
    <t>Year of liming benefit</t>
  </si>
  <si>
    <t>C. SOIL TEXTURE ASSUMPTION</t>
  </si>
  <si>
    <t>IV. DEFINITIONS</t>
  </si>
  <si>
    <t>V. REFERENCES</t>
  </si>
  <si>
    <t>Soil test recommendation, 100% CCE (tons/ac)</t>
  </si>
  <si>
    <t>Click this Soils Information Finder Tool (SIFT) Map Application to determine your soil texture on BC map</t>
  </si>
  <si>
    <t>Net Return ($)</t>
  </si>
  <si>
    <t>Added revenue ($/ac)</t>
  </si>
  <si>
    <t>Total product required for field (tons)</t>
  </si>
  <si>
    <t>This cell can be override</t>
  </si>
  <si>
    <t>Click this link to learn more about soil pH preference of various crops</t>
  </si>
  <si>
    <t>Click this link to learn more about liming soil</t>
  </si>
  <si>
    <t>Click this link to learn more about neutralizing effects of liming sources</t>
  </si>
  <si>
    <t>Help producers to select the most cost effective liming material for their fields by comparing the full cost of correcting soil pH (material + hauling + spreading, amortized over the years the lime will last) against the expected economic return (yield response to corrected pH, plus an optional nutrient-availability credit).</t>
  </si>
  <si>
    <t>Multiply by %weight if not pure to get the corrected CCE</t>
  </si>
  <si>
    <t>Calcitic lime (CaCO3), pure</t>
  </si>
  <si>
    <t>Dolomitic lime (CaMg(CO3)2), pure</t>
  </si>
  <si>
    <t>Dolomitic lime (CaMg(CO3)2)</t>
  </si>
  <si>
    <t>Burnt/quick lime (CaO), pure</t>
  </si>
  <si>
    <t>50-90</t>
  </si>
  <si>
    <t>40-50</t>
  </si>
  <si>
    <t>Burnt/quick lime (CaO)</t>
  </si>
  <si>
    <t>Slaked/hydrated lime (Ca(OH)2), pure</t>
  </si>
  <si>
    <t>Alfalfa/grass</t>
  </si>
  <si>
    <t>Field name</t>
  </si>
  <si>
    <t>Cumulative net return ($/ac)</t>
  </si>
  <si>
    <t>Required lime rate (tons/ac)</t>
  </si>
  <si>
    <t>Application cost ($/ac)</t>
  </si>
  <si>
    <t>Yield increase (tons/ac/yr)</t>
  </si>
  <si>
    <t>Best product</t>
  </si>
  <si>
    <t>Optimum soil pH</t>
  </si>
  <si>
    <t>Lime source</t>
  </si>
  <si>
    <t xml:space="preserve">You can re-download this calculator by clicking </t>
  </si>
  <si>
    <t>LIMING ECONOMIC CALCULATOR
Developed by British Columbia Ministry of Agriculture and Food
August, 2026 (Version 1.0)</t>
  </si>
  <si>
    <r>
      <rPr>
        <b/>
        <sz val="12"/>
        <color theme="1"/>
        <rFont val="BC Sans"/>
      </rPr>
      <t>Section A</t>
    </r>
    <r>
      <rPr>
        <sz val="12"/>
        <color theme="1"/>
        <rFont val="BC Sans"/>
      </rPr>
      <t xml:space="preserve">: Enter your field, soil, and economic information. If you have a “soil test recommendation” for lime rate, enter the value- this is always more accurate. If you don't have a soil test recommendation, select soil texture from the dropdown for the calculator to estimate lime requirement based on soil texture rule of thumb.
</t>
    </r>
  </si>
  <si>
    <t>Default lime source, cost, and crop pH response values reflect commonly cited ranges and are meant as reasonable starting points only. Soil chemistry, crop varieties, and local lime sources vary. Replace any default with your soil test lab's recommendation or your local extension's published values whenever available. This tool is a decision-support aid, not a substitute for a certified nutrient management plan or agronomist.</t>
  </si>
  <si>
    <t>PROVINCE OF BRITISH COLUMBIA
MINISTRY OF AGRICULTURE AND FOOD
LIMING ECONOMIC CALCULATOR</t>
  </si>
  <si>
    <t>Scenarios</t>
  </si>
  <si>
    <t>Liming Economic Calculator</t>
  </si>
  <si>
    <t>Go to the Liming Economic Calculator sheet</t>
  </si>
  <si>
    <r>
      <rPr>
        <b/>
        <sz val="12"/>
        <color theme="1"/>
        <rFont val="BC Sans"/>
      </rPr>
      <t>Section E</t>
    </r>
    <r>
      <rPr>
        <sz val="12"/>
        <color theme="1"/>
        <rFont val="BC Sans"/>
      </rPr>
      <t>: Sensitivity analysis to show different ecnomic return based on expected yield scenarios.</t>
    </r>
  </si>
  <si>
    <r>
      <rPr>
        <b/>
        <sz val="12"/>
        <color theme="1"/>
        <rFont val="BC Sans"/>
      </rPr>
      <t>Section D</t>
    </r>
    <r>
      <rPr>
        <sz val="12"/>
        <color theme="1"/>
        <rFont val="BC Sans"/>
      </rPr>
      <t>: Review the summary of the most economical lime  source.</t>
    </r>
  </si>
  <si>
    <r>
      <rPr>
        <b/>
        <sz val="12"/>
        <color theme="1"/>
        <rFont val="BC Sans"/>
      </rPr>
      <t>Section C</t>
    </r>
    <r>
      <rPr>
        <sz val="12"/>
        <color theme="1"/>
        <rFont val="BC Sans"/>
      </rPr>
      <t>: Compare the results of different lime sources (rate to apply, cost implication and ranking based on their economic return).</t>
    </r>
  </si>
  <si>
    <t>GrowFood Ltd.</t>
  </si>
  <si>
    <t>Slaked/hydrated lime (Ca(OH)2)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</si>
</sst>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0.0"/>
    <numFmt numFmtId="165" formatCode="\$#,##0"/>
    <numFmt numFmtId="166" formatCode="#,##0.00_-;\-\ #,##0.00_-;_-\ &quot;-&quot;??_-;_-@_-"/>
    <numFmt numFmtId="167" formatCode="_-#,##0.00_-;\-#,##0.00_-;_-* &quot;-&quot;??_-;_-@_-"/>
  </numFmts>
  <fonts count="36">
    <font>
      <sz val="11"/>
      <name val="Carlito"/>
    </font>
    <font>
      <sz val="11"/>
      <color theme="1"/>
      <name val="Carlito"/>
    </font>
    <font>
      <sz val="12"/>
      <name val="BC Sans"/>
    </font>
    <font>
      <u/>
      <sz val="11"/>
      <color theme="10"/>
      <name val="Carlito"/>
    </font>
    <font>
      <b/>
      <sz val="13"/>
      <color rgb="FFFFFFFF"/>
      <name val="Arial Black"/>
      <family val="2"/>
    </font>
    <font>
      <sz val="13"/>
      <name val="Arial Black"/>
      <family val="2"/>
    </font>
    <font>
      <b/>
      <sz val="13"/>
      <color theme="0"/>
      <name val="Arial Black"/>
      <family val="2"/>
    </font>
    <font>
      <sz val="13"/>
      <name val="Carlito"/>
    </font>
    <font>
      <b/>
      <sz val="12"/>
      <name val="BC Sans"/>
    </font>
    <font>
      <b/>
      <sz val="12"/>
      <color theme="1"/>
      <name val="BC Sans"/>
    </font>
    <font>
      <sz val="12"/>
      <color theme="1"/>
      <name val="BC Sans"/>
    </font>
    <font>
      <i/>
      <sz val="12"/>
      <color rgb="FF6B7280"/>
      <name val="BC Sans"/>
    </font>
    <font>
      <sz val="11"/>
      <name val="Arial Black"/>
      <family val="2"/>
    </font>
    <font>
      <b/>
      <sz val="12"/>
      <color rgb="FFFFFFFF"/>
      <name val="BC Sans"/>
    </font>
    <font>
      <sz val="12"/>
      <color theme="0"/>
      <name val="BC Sans"/>
    </font>
    <font>
      <sz val="12"/>
      <color theme="0"/>
      <name val="Arial Black"/>
      <family val="2"/>
    </font>
    <font>
      <sz val="11"/>
      <color theme="1"/>
      <name val="Calibri"/>
      <family val="2"/>
      <charset val="1"/>
    </font>
    <font>
      <sz val="12"/>
      <color rgb="FF000000"/>
      <name val="BC Sans"/>
    </font>
    <font>
      <b/>
      <sz val="16"/>
      <color theme="1"/>
      <name val="Arial Black"/>
      <family val="2"/>
    </font>
    <font>
      <sz val="16"/>
      <color theme="1"/>
      <name val="Arial Black"/>
      <family val="2"/>
    </font>
    <font>
      <vertAlign val="subscript"/>
      <sz val="12"/>
      <name val="BC Sans"/>
    </font>
    <font>
      <b/>
      <sz val="12"/>
      <color rgb="FFFFFFFF"/>
      <name val="Arial Black"/>
      <family val="2"/>
    </font>
    <font>
      <b/>
      <sz val="12"/>
      <color theme="1"/>
      <name val="Arial Black"/>
      <family val="2"/>
    </font>
    <font>
      <u/>
      <sz val="12"/>
      <color theme="10"/>
      <name val="BC Sans"/>
    </font>
    <font>
      <b/>
      <sz val="14"/>
      <color rgb="FFFFFFFF"/>
      <name val="Arial Black"/>
      <family val="2"/>
    </font>
    <font>
      <sz val="12"/>
      <color rgb="FFFF0000"/>
      <name val="BC Sans"/>
    </font>
    <font>
      <b/>
      <sz val="12"/>
      <color rgb="FF000000"/>
      <name val="BC Sans"/>
    </font>
    <font>
      <sz val="12"/>
      <name val="Arial Black"/>
      <family val="2"/>
    </font>
    <font>
      <b/>
      <sz val="15"/>
      <color theme="9" tint="-0.499984740745262"/>
      <name val="BC Sans"/>
    </font>
    <font>
      <u/>
      <sz val="12"/>
      <color rgb="FF0000FF"/>
      <name val="BC Sans"/>
    </font>
    <font>
      <b/>
      <sz val="12"/>
      <color theme="7"/>
      <name val="BC Sans"/>
    </font>
    <font>
      <sz val="12"/>
      <color theme="1" tint="0.499984740745262"/>
      <name val="BC Sans"/>
    </font>
    <font>
      <sz val="11"/>
      <name val="Carlito"/>
    </font>
    <font>
      <sz val="8"/>
      <name val="Carlito"/>
    </font>
    <font>
      <sz val="14"/>
      <color theme="1"/>
      <name val="BC Sans"/>
    </font>
    <font>
      <b/>
      <u/>
      <sz val="14"/>
      <color rgb="FF0000FF"/>
      <name val="BC Sans"/>
    </font>
  </fonts>
  <fills count="18">
    <fill>
      <patternFill patternType="none"/>
    </fill>
    <fill>
      <patternFill patternType="gray125"/>
    </fill>
    <fill>
      <patternFill patternType="solid">
        <fgColor rgb="FF1F4E5F"/>
      </patternFill>
    </fill>
    <fill>
      <patternFill patternType="solid">
        <fgColor rgb="FF0F766E"/>
      </patternFill>
    </fill>
    <fill>
      <patternFill patternType="solid">
        <fgColor rgb="FFFFF2CC"/>
      </patternFill>
    </fill>
    <fill>
      <patternFill patternType="solid">
        <fgColor rgb="FFFFFFFF"/>
      </patternFill>
    </fill>
    <fill>
      <patternFill patternType="solid">
        <fgColor theme="8" tint="0.39997558519241921"/>
        <bgColor indexed="64"/>
      </patternFill>
    </fill>
    <fill>
      <patternFill patternType="solid">
        <fgColor rgb="FF006666"/>
        <bgColor indexed="64"/>
      </patternFill>
    </fill>
    <fill>
      <patternFill patternType="solid">
        <fgColor theme="4"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rgb="FFFFC000"/>
        <bgColor indexed="64"/>
      </patternFill>
    </fill>
    <fill>
      <patternFill patternType="solid">
        <fgColor theme="3" tint="0.499984740745262"/>
        <bgColor indexed="64"/>
      </patternFill>
    </fill>
    <fill>
      <patternFill patternType="solid">
        <fgColor theme="4" tint="0.79998168889431442"/>
        <bgColor indexed="64"/>
      </patternFill>
    </fill>
    <fill>
      <patternFill patternType="solid">
        <fgColor rgb="FFFFFFFF"/>
        <bgColor indexed="64"/>
      </patternFill>
    </fill>
    <fill>
      <patternFill patternType="solid">
        <fgColor rgb="FF83CCEB"/>
        <bgColor indexed="64"/>
      </patternFill>
    </fill>
    <fill>
      <patternFill patternType="solid">
        <fgColor rgb="FFFFF2CC"/>
        <bgColor indexed="64"/>
      </patternFill>
    </fill>
    <fill>
      <patternFill patternType="solid">
        <fgColor rgb="FFDDF7E1"/>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ck">
        <color indexed="64"/>
      </bottom>
      <diagonal/>
    </border>
    <border>
      <left/>
      <right/>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s>
  <cellStyleXfs count="4">
    <xf numFmtId="0" fontId="0" fillId="0" borderId="0"/>
    <xf numFmtId="0" fontId="3" fillId="0" borderId="0" applyNumberFormat="0" applyFill="0" applyBorder="0" applyAlignment="0" applyProtection="0"/>
    <xf numFmtId="0" fontId="16" fillId="0" borderId="0"/>
    <xf numFmtId="43" fontId="32" fillId="0" borderId="0" applyFont="0" applyFill="0" applyBorder="0" applyAlignment="0" applyProtection="0"/>
  </cellStyleXfs>
  <cellXfs count="290">
    <xf numFmtId="0" fontId="0" fillId="0" borderId="0" xfId="0"/>
    <xf numFmtId="0" fontId="2" fillId="0" borderId="1" xfId="0" applyFont="1" applyBorder="1"/>
    <xf numFmtId="0" fontId="2" fillId="0" borderId="10" xfId="0" applyFont="1" applyBorder="1"/>
    <xf numFmtId="0" fontId="2" fillId="0" borderId="12" xfId="0" applyFont="1" applyBorder="1"/>
    <xf numFmtId="0" fontId="2" fillId="0" borderId="6" xfId="0" applyFont="1" applyBorder="1"/>
    <xf numFmtId="0" fontId="8" fillId="10" borderId="9" xfId="0" applyFont="1" applyFill="1" applyBorder="1"/>
    <xf numFmtId="0" fontId="8" fillId="10" borderId="11" xfId="0" applyFont="1" applyFill="1" applyBorder="1"/>
    <xf numFmtId="0" fontId="8" fillId="10" borderId="25" xfId="0" applyFont="1" applyFill="1" applyBorder="1" applyAlignment="1">
      <alignment wrapText="1"/>
    </xf>
    <xf numFmtId="0" fontId="8" fillId="10" borderId="9" xfId="0" applyFont="1" applyFill="1" applyBorder="1" applyAlignment="1">
      <alignment wrapText="1"/>
    </xf>
    <xf numFmtId="2" fontId="2" fillId="10" borderId="1" xfId="0" applyNumberFormat="1" applyFont="1" applyFill="1" applyBorder="1" applyAlignment="1">
      <alignment horizontal="left"/>
    </xf>
    <xf numFmtId="0" fontId="2" fillId="10" borderId="1" xfId="0" applyFont="1" applyFill="1" applyBorder="1" applyAlignment="1">
      <alignment horizontal="left"/>
    </xf>
    <xf numFmtId="2" fontId="2" fillId="10" borderId="1" xfId="0" applyNumberFormat="1" applyFont="1" applyFill="1" applyBorder="1" applyAlignment="1">
      <alignment horizontal="left" wrapText="1"/>
    </xf>
    <xf numFmtId="165" fontId="2" fillId="10" borderId="1" xfId="0" applyNumberFormat="1" applyFont="1" applyFill="1" applyBorder="1" applyAlignment="1">
      <alignment horizontal="left"/>
    </xf>
    <xf numFmtId="164" fontId="2" fillId="10" borderId="1" xfId="0" applyNumberFormat="1" applyFont="1" applyFill="1" applyBorder="1" applyAlignment="1">
      <alignment horizontal="left"/>
    </xf>
    <xf numFmtId="2" fontId="10" fillId="10" borderId="1" xfId="0" applyNumberFormat="1" applyFont="1" applyFill="1" applyBorder="1"/>
    <xf numFmtId="0" fontId="2" fillId="10" borderId="1" xfId="0" applyFont="1" applyFill="1" applyBorder="1"/>
    <xf numFmtId="0" fontId="2" fillId="10" borderId="10" xfId="0" applyFont="1" applyFill="1" applyBorder="1"/>
    <xf numFmtId="0" fontId="0" fillId="7" borderId="8" xfId="0" applyFill="1" applyBorder="1"/>
    <xf numFmtId="0" fontId="2" fillId="0" borderId="5" xfId="0" applyFont="1" applyBorder="1"/>
    <xf numFmtId="0" fontId="2" fillId="0" borderId="2" xfId="0" applyFont="1" applyBorder="1" applyAlignment="1">
      <alignment horizontal="left" vertical="top"/>
    </xf>
    <xf numFmtId="0" fontId="13" fillId="2" borderId="20" xfId="0" applyFont="1" applyFill="1" applyBorder="1" applyAlignment="1">
      <alignment horizontal="left" vertical="top" wrapText="1"/>
    </xf>
    <xf numFmtId="0" fontId="13" fillId="2" borderId="18" xfId="0" applyFont="1" applyFill="1" applyBorder="1" applyAlignment="1">
      <alignment horizontal="left" vertical="top" wrapText="1"/>
    </xf>
    <xf numFmtId="0" fontId="13" fillId="2" borderId="7" xfId="0" applyFont="1" applyFill="1" applyBorder="1" applyAlignment="1">
      <alignment horizontal="left" vertical="top" wrapText="1"/>
    </xf>
    <xf numFmtId="0" fontId="13" fillId="6" borderId="13" xfId="0" applyFont="1" applyFill="1" applyBorder="1" applyAlignment="1">
      <alignment horizontal="left" vertical="top" wrapText="1"/>
    </xf>
    <xf numFmtId="0" fontId="13" fillId="2" borderId="13" xfId="0" applyFont="1" applyFill="1" applyBorder="1" applyAlignment="1">
      <alignment horizontal="left" vertical="top" wrapText="1"/>
    </xf>
    <xf numFmtId="0" fontId="13" fillId="2" borderId="8" xfId="0" applyFont="1" applyFill="1" applyBorder="1" applyAlignment="1">
      <alignment horizontal="left" vertical="top" wrapText="1"/>
    </xf>
    <xf numFmtId="0" fontId="2" fillId="0" borderId="1" xfId="0" applyFont="1" applyBorder="1" applyAlignment="1">
      <alignment horizontal="left" vertical="top"/>
    </xf>
    <xf numFmtId="0" fontId="2" fillId="0" borderId="2" xfId="0" applyFont="1" applyBorder="1"/>
    <xf numFmtId="2" fontId="2" fillId="4" borderId="4" xfId="0" applyNumberFormat="1" applyFont="1" applyFill="1" applyBorder="1" applyAlignment="1">
      <alignment horizontal="left" wrapText="1"/>
    </xf>
    <xf numFmtId="0" fontId="2" fillId="0" borderId="9" xfId="0" applyFont="1" applyBorder="1"/>
    <xf numFmtId="2" fontId="2" fillId="4" borderId="19" xfId="0" applyNumberFormat="1" applyFont="1" applyFill="1" applyBorder="1" applyAlignment="1">
      <alignment horizontal="left" wrapText="1"/>
    </xf>
    <xf numFmtId="0" fontId="2" fillId="0" borderId="11" xfId="0" applyFont="1" applyBorder="1"/>
    <xf numFmtId="2" fontId="10" fillId="5" borderId="17" xfId="0" applyNumberFormat="1" applyFont="1" applyFill="1" applyBorder="1" applyAlignment="1">
      <alignment horizontal="left"/>
    </xf>
    <xf numFmtId="2" fontId="10" fillId="5" borderId="6" xfId="0" applyNumberFormat="1" applyFont="1" applyFill="1" applyBorder="1" applyAlignment="1">
      <alignment horizontal="left"/>
    </xf>
    <xf numFmtId="165" fontId="10" fillId="5" borderId="6" xfId="0" applyNumberFormat="1" applyFont="1" applyFill="1" applyBorder="1" applyAlignment="1">
      <alignment horizontal="left"/>
    </xf>
    <xf numFmtId="1" fontId="10" fillId="5" borderId="6" xfId="0" applyNumberFormat="1" applyFont="1" applyFill="1" applyBorder="1" applyAlignment="1">
      <alignment horizontal="left"/>
    </xf>
    <xf numFmtId="2" fontId="10" fillId="5" borderId="1" xfId="0" applyNumberFormat="1" applyFont="1" applyFill="1" applyBorder="1" applyAlignment="1">
      <alignment horizontal="left"/>
    </xf>
    <xf numFmtId="1" fontId="10" fillId="10" borderId="10" xfId="0" applyNumberFormat="1" applyFont="1" applyFill="1" applyBorder="1"/>
    <xf numFmtId="2" fontId="10" fillId="10" borderId="14" xfId="0" applyNumberFormat="1" applyFont="1" applyFill="1" applyBorder="1"/>
    <xf numFmtId="1" fontId="10" fillId="10" borderId="12" xfId="0" applyNumberFormat="1" applyFont="1" applyFill="1" applyBorder="1"/>
    <xf numFmtId="2" fontId="10" fillId="10" borderId="1" xfId="0" applyNumberFormat="1" applyFont="1" applyFill="1" applyBorder="1" applyAlignment="1">
      <alignment horizontal="left"/>
    </xf>
    <xf numFmtId="0" fontId="10" fillId="10" borderId="1" xfId="0" applyFont="1" applyFill="1" applyBorder="1" applyAlignment="1">
      <alignment horizontal="left"/>
    </xf>
    <xf numFmtId="0" fontId="10" fillId="10" borderId="29" xfId="0" applyFont="1" applyFill="1" applyBorder="1"/>
    <xf numFmtId="0" fontId="10" fillId="10" borderId="30" xfId="0" applyFont="1" applyFill="1" applyBorder="1"/>
    <xf numFmtId="0" fontId="2" fillId="10" borderId="31" xfId="0" applyFont="1" applyFill="1" applyBorder="1"/>
    <xf numFmtId="0" fontId="0" fillId="10" borderId="32" xfId="0" applyFill="1" applyBorder="1"/>
    <xf numFmtId="2" fontId="1" fillId="10" borderId="32" xfId="0" applyNumberFormat="1" applyFont="1" applyFill="1" applyBorder="1"/>
    <xf numFmtId="165" fontId="1" fillId="10" borderId="32" xfId="0" applyNumberFormat="1" applyFont="1" applyFill="1" applyBorder="1"/>
    <xf numFmtId="2" fontId="1" fillId="10" borderId="39" xfId="0" applyNumberFormat="1" applyFont="1" applyFill="1" applyBorder="1"/>
    <xf numFmtId="0" fontId="10" fillId="0" borderId="0" xfId="2" applyFont="1" applyAlignment="1">
      <alignment horizontal="left" vertical="top"/>
    </xf>
    <xf numFmtId="0" fontId="9" fillId="15" borderId="9" xfId="0" applyFont="1" applyFill="1" applyBorder="1"/>
    <xf numFmtId="0" fontId="9" fillId="15" borderId="10" xfId="0" applyFont="1" applyFill="1" applyBorder="1"/>
    <xf numFmtId="0" fontId="22" fillId="15" borderId="10" xfId="0" applyFont="1" applyFill="1" applyBorder="1" applyAlignment="1">
      <alignment horizontal="left" vertical="top" wrapText="1"/>
    </xf>
    <xf numFmtId="0" fontId="2" fillId="0" borderId="3" xfId="0" applyFont="1" applyBorder="1" applyAlignment="1">
      <alignment horizontal="left" vertical="top"/>
    </xf>
    <xf numFmtId="0" fontId="2" fillId="0" borderId="3" xfId="0" applyFont="1" applyBorder="1"/>
    <xf numFmtId="0" fontId="2" fillId="0" borderId="27" xfId="0" applyFont="1" applyBorder="1"/>
    <xf numFmtId="2" fontId="2" fillId="10" borderId="4" xfId="0" applyNumberFormat="1" applyFont="1" applyFill="1" applyBorder="1" applyAlignment="1">
      <alignment horizontal="left" wrapText="1"/>
    </xf>
    <xf numFmtId="2" fontId="2" fillId="10" borderId="19" xfId="0" applyNumberFormat="1" applyFont="1" applyFill="1" applyBorder="1" applyAlignment="1">
      <alignment horizontal="left" wrapText="1"/>
    </xf>
    <xf numFmtId="0" fontId="2" fillId="10" borderId="21" xfId="0" applyFont="1" applyFill="1" applyBorder="1" applyAlignment="1">
      <alignment horizontal="left" wrapText="1"/>
    </xf>
    <xf numFmtId="0" fontId="2" fillId="10" borderId="22" xfId="0" applyFont="1" applyFill="1" applyBorder="1" applyAlignment="1">
      <alignment horizontal="left" wrapText="1"/>
    </xf>
    <xf numFmtId="0" fontId="2" fillId="0" borderId="1" xfId="0" applyFont="1" applyBorder="1" applyAlignment="1" applyProtection="1">
      <alignment wrapText="1"/>
      <protection locked="0"/>
    </xf>
    <xf numFmtId="0" fontId="2" fillId="0" borderId="1" xfId="0" applyFont="1" applyBorder="1" applyAlignment="1" applyProtection="1">
      <alignment vertical="top" wrapText="1"/>
      <protection locked="0"/>
    </xf>
    <xf numFmtId="1" fontId="17" fillId="9" borderId="1" xfId="0" applyNumberFormat="1" applyFont="1" applyFill="1" applyBorder="1" applyAlignment="1" applyProtection="1">
      <alignment horizontal="left" vertical="center" wrapText="1"/>
      <protection locked="0"/>
    </xf>
    <xf numFmtId="0" fontId="2" fillId="0" borderId="1" xfId="0" applyFont="1" applyBorder="1" applyAlignment="1" applyProtection="1">
      <alignment horizontal="left" wrapText="1"/>
      <protection locked="0"/>
    </xf>
    <xf numFmtId="0" fontId="0" fillId="0" borderId="1" xfId="0" applyBorder="1" applyProtection="1">
      <protection locked="0"/>
    </xf>
    <xf numFmtId="1" fontId="10" fillId="9" borderId="1" xfId="0" applyNumberFormat="1" applyFont="1" applyFill="1" applyBorder="1" applyAlignment="1" applyProtection="1">
      <alignment horizontal="left"/>
      <protection locked="0"/>
    </xf>
    <xf numFmtId="2" fontId="10" fillId="9" borderId="1" xfId="0" applyNumberFormat="1" applyFont="1" applyFill="1" applyBorder="1" applyAlignment="1" applyProtection="1">
      <alignment horizontal="left"/>
      <protection locked="0"/>
    </xf>
    <xf numFmtId="0" fontId="7" fillId="0" borderId="1" xfId="0" applyFont="1" applyBorder="1" applyProtection="1">
      <protection locked="0"/>
    </xf>
    <xf numFmtId="0" fontId="0" fillId="0" borderId="1" xfId="0" applyBorder="1" applyAlignment="1" applyProtection="1">
      <alignment horizontal="left"/>
      <protection locked="0"/>
    </xf>
    <xf numFmtId="1" fontId="10" fillId="9" borderId="14" xfId="0" applyNumberFormat="1" applyFont="1" applyFill="1" applyBorder="1" applyAlignment="1" applyProtection="1">
      <alignment horizontal="left"/>
      <protection locked="0"/>
    </xf>
    <xf numFmtId="2" fontId="10" fillId="9" borderId="14" xfId="0" applyNumberFormat="1" applyFont="1" applyFill="1" applyBorder="1" applyAlignment="1" applyProtection="1">
      <alignment horizontal="left"/>
      <protection locked="0"/>
    </xf>
    <xf numFmtId="0" fontId="29" fillId="0" borderId="0" xfId="1" applyFont="1" applyBorder="1" applyAlignment="1" applyProtection="1">
      <alignment horizontal="left" vertical="center"/>
    </xf>
    <xf numFmtId="166" fontId="2" fillId="9" borderId="1" xfId="3" applyNumberFormat="1" applyFont="1" applyFill="1" applyBorder="1" applyAlignment="1" applyProtection="1">
      <alignment horizontal="left"/>
      <protection locked="0"/>
    </xf>
    <xf numFmtId="166" fontId="2" fillId="9" borderId="10" xfId="3" applyNumberFormat="1" applyFont="1" applyFill="1" applyBorder="1" applyAlignment="1" applyProtection="1">
      <alignment horizontal="left"/>
      <protection locked="0"/>
    </xf>
    <xf numFmtId="166" fontId="2" fillId="9" borderId="14" xfId="3" applyNumberFormat="1" applyFont="1" applyFill="1" applyBorder="1" applyAlignment="1" applyProtection="1">
      <alignment horizontal="left"/>
      <protection locked="0"/>
    </xf>
    <xf numFmtId="166" fontId="2" fillId="9" borderId="12" xfId="3" applyNumberFormat="1" applyFont="1" applyFill="1" applyBorder="1" applyAlignment="1" applyProtection="1">
      <alignment horizontal="left"/>
      <protection locked="0"/>
    </xf>
    <xf numFmtId="166" fontId="2" fillId="10" borderId="1" xfId="3" applyNumberFormat="1" applyFont="1" applyFill="1" applyBorder="1" applyAlignment="1" applyProtection="1">
      <alignment horizontal="left"/>
    </xf>
    <xf numFmtId="166" fontId="2" fillId="10" borderId="10" xfId="3" applyNumberFormat="1" applyFont="1" applyFill="1" applyBorder="1" applyAlignment="1" applyProtection="1">
      <alignment horizontal="left"/>
    </xf>
    <xf numFmtId="167" fontId="2" fillId="10" borderId="1" xfId="3" applyNumberFormat="1" applyFont="1" applyFill="1" applyBorder="1" applyAlignment="1" applyProtection="1">
      <alignment horizontal="left"/>
    </xf>
    <xf numFmtId="166" fontId="2" fillId="10" borderId="14" xfId="3" applyNumberFormat="1" applyFont="1" applyFill="1" applyBorder="1" applyAlignment="1" applyProtection="1">
      <alignment horizontal="left"/>
    </xf>
    <xf numFmtId="167" fontId="2" fillId="10" borderId="14" xfId="3" applyNumberFormat="1" applyFont="1" applyFill="1" applyBorder="1" applyAlignment="1" applyProtection="1">
      <alignment horizontal="left"/>
    </xf>
    <xf numFmtId="0" fontId="18" fillId="13" borderId="62" xfId="0" applyFont="1" applyFill="1" applyBorder="1" applyAlignment="1">
      <alignment vertical="center" wrapText="1"/>
    </xf>
    <xf numFmtId="0" fontId="8" fillId="0" borderId="0" xfId="2" applyFont="1" applyAlignment="1">
      <alignment vertical="top"/>
    </xf>
    <xf numFmtId="0" fontId="10" fillId="0" borderId="0" xfId="2" applyFont="1" applyAlignment="1">
      <alignment vertical="top"/>
    </xf>
    <xf numFmtId="0" fontId="10" fillId="0" borderId="51" xfId="2" applyFont="1" applyBorder="1" applyAlignment="1">
      <alignment horizontal="left" vertical="top"/>
    </xf>
    <xf numFmtId="0" fontId="29" fillId="0" borderId="52" xfId="1" applyFont="1" applyBorder="1" applyAlignment="1" applyProtection="1">
      <alignment horizontal="left" vertical="center" wrapText="1"/>
    </xf>
    <xf numFmtId="0" fontId="29" fillId="0" borderId="53" xfId="1" applyFont="1" applyBorder="1" applyAlignment="1" applyProtection="1">
      <alignment horizontal="left" vertical="center" wrapText="1"/>
    </xf>
    <xf numFmtId="0" fontId="5" fillId="0" borderId="1" xfId="0" applyFont="1" applyBorder="1" applyProtection="1">
      <protection locked="0"/>
    </xf>
    <xf numFmtId="0" fontId="34" fillId="0" borderId="51" xfId="2" applyFont="1" applyBorder="1" applyAlignment="1">
      <alignment horizontal="left" vertical="center"/>
    </xf>
    <xf numFmtId="0" fontId="34" fillId="0" borderId="0" xfId="2" applyFont="1" applyAlignment="1">
      <alignment horizontal="left" vertical="center"/>
    </xf>
    <xf numFmtId="0" fontId="34" fillId="17" borderId="0" xfId="2" applyFont="1" applyFill="1" applyAlignment="1">
      <alignment vertical="center"/>
    </xf>
    <xf numFmtId="0" fontId="2" fillId="0" borderId="2" xfId="0" applyFont="1" applyBorder="1" applyAlignment="1">
      <alignment wrapText="1"/>
    </xf>
    <xf numFmtId="0" fontId="14" fillId="0" borderId="4" xfId="0" applyFont="1" applyBorder="1" applyAlignment="1">
      <alignment wrapText="1"/>
    </xf>
    <xf numFmtId="0" fontId="22" fillId="8" borderId="7" xfId="0" applyFont="1" applyFill="1" applyBorder="1" applyAlignment="1">
      <alignment horizontal="left" vertical="top" wrapText="1"/>
    </xf>
    <xf numFmtId="0" fontId="22" fillId="8" borderId="13" xfId="0" applyFont="1" applyFill="1" applyBorder="1" applyAlignment="1">
      <alignment horizontal="left" vertical="top" wrapText="1"/>
    </xf>
    <xf numFmtId="2" fontId="27" fillId="0" borderId="13" xfId="0" applyNumberFormat="1" applyFont="1" applyBorder="1" applyAlignment="1">
      <alignment horizontal="left" vertical="top" wrapText="1"/>
    </xf>
    <xf numFmtId="0" fontId="2" fillId="0" borderId="8" xfId="0" applyFont="1" applyBorder="1" applyAlignment="1">
      <alignment wrapText="1"/>
    </xf>
    <xf numFmtId="0" fontId="2" fillId="0" borderId="3" xfId="0" applyFont="1" applyBorder="1" applyAlignment="1">
      <alignment wrapText="1"/>
    </xf>
    <xf numFmtId="0" fontId="22" fillId="15" borderId="9" xfId="0" applyFont="1" applyFill="1" applyBorder="1" applyAlignment="1">
      <alignment horizontal="left" vertical="top" wrapText="1"/>
    </xf>
    <xf numFmtId="2" fontId="2" fillId="0" borderId="4" xfId="0" applyNumberFormat="1" applyFont="1" applyBorder="1" applyAlignment="1">
      <alignment wrapText="1"/>
    </xf>
    <xf numFmtId="0" fontId="2" fillId="0" borderId="1" xfId="0"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2" fontId="2" fillId="0" borderId="3" xfId="0" applyNumberFormat="1" applyFont="1" applyBorder="1" applyAlignment="1">
      <alignment wrapText="1"/>
    </xf>
    <xf numFmtId="2" fontId="2" fillId="0" borderId="1" xfId="0" applyNumberFormat="1" applyFont="1" applyBorder="1" applyAlignment="1">
      <alignment wrapText="1"/>
    </xf>
    <xf numFmtId="0" fontId="2" fillId="0" borderId="4" xfId="0" applyFont="1" applyBorder="1" applyAlignment="1">
      <alignment wrapText="1"/>
    </xf>
    <xf numFmtId="2" fontId="2" fillId="0" borderId="14" xfId="0" applyNumberFormat="1" applyFont="1" applyBorder="1" applyAlignment="1">
      <alignment wrapText="1"/>
    </xf>
    <xf numFmtId="0" fontId="2" fillId="0" borderId="12" xfId="0" applyFont="1" applyBorder="1" applyAlignment="1">
      <alignment wrapText="1"/>
    </xf>
    <xf numFmtId="2" fontId="2" fillId="0" borderId="40" xfId="0" applyNumberFormat="1" applyFont="1" applyBorder="1" applyAlignment="1">
      <alignment wrapText="1"/>
    </xf>
    <xf numFmtId="0" fontId="2" fillId="0" borderId="6" xfId="0" applyFont="1" applyBorder="1" applyAlignment="1">
      <alignment wrapText="1"/>
    </xf>
    <xf numFmtId="0" fontId="2" fillId="0" borderId="54" xfId="0" applyFont="1" applyBorder="1" applyAlignment="1">
      <alignment wrapText="1"/>
    </xf>
    <xf numFmtId="0" fontId="21" fillId="3" borderId="24" xfId="0" applyFont="1" applyFill="1" applyBorder="1" applyAlignment="1">
      <alignment horizontal="left" vertical="top"/>
    </xf>
    <xf numFmtId="0" fontId="2" fillId="0" borderId="17" xfId="0" applyFont="1" applyBorder="1" applyAlignment="1">
      <alignment wrapText="1"/>
    </xf>
    <xf numFmtId="0" fontId="21" fillId="7" borderId="47" xfId="0" applyFont="1" applyFill="1" applyBorder="1" applyAlignment="1">
      <alignment wrapText="1"/>
    </xf>
    <xf numFmtId="0" fontId="21" fillId="7" borderId="15" xfId="0" applyFont="1" applyFill="1" applyBorder="1" applyAlignment="1">
      <alignment wrapText="1"/>
    </xf>
    <xf numFmtId="0" fontId="26" fillId="14" borderId="9" xfId="0" applyFont="1" applyFill="1" applyBorder="1" applyAlignment="1">
      <alignment horizontal="left" vertical="top" wrapText="1"/>
    </xf>
    <xf numFmtId="0" fontId="17" fillId="14" borderId="9" xfId="0" applyFont="1" applyFill="1" applyBorder="1" applyAlignment="1">
      <alignment horizontal="left" vertical="center" wrapText="1"/>
    </xf>
    <xf numFmtId="0" fontId="26" fillId="14" borderId="1" xfId="0" applyFont="1" applyFill="1" applyBorder="1" applyAlignment="1">
      <alignment horizontal="left" vertical="top" wrapText="1"/>
    </xf>
    <xf numFmtId="0" fontId="8" fillId="0" borderId="1" xfId="0" applyFont="1" applyBorder="1" applyAlignment="1">
      <alignment vertical="top" wrapText="1"/>
    </xf>
    <xf numFmtId="0" fontId="28" fillId="0" borderId="1" xfId="0" applyFont="1" applyBorder="1" applyAlignment="1">
      <alignment horizontal="left" wrapText="1"/>
    </xf>
    <xf numFmtId="0" fontId="2" fillId="0" borderId="1" xfId="0" applyFont="1" applyBorder="1" applyAlignment="1">
      <alignment vertical="top" wrapText="1"/>
    </xf>
    <xf numFmtId="164" fontId="2" fillId="0" borderId="1" xfId="0" applyNumberFormat="1" applyFont="1" applyBorder="1" applyAlignment="1">
      <alignment wrapText="1"/>
    </xf>
    <xf numFmtId="0" fontId="2" fillId="0" borderId="14" xfId="0" applyFont="1" applyBorder="1" applyAlignment="1">
      <alignment wrapText="1"/>
    </xf>
    <xf numFmtId="0" fontId="2" fillId="0" borderId="1" xfId="0" applyFont="1" applyBorder="1" applyAlignment="1">
      <alignment horizontal="left" wrapText="1"/>
    </xf>
    <xf numFmtId="0" fontId="2" fillId="0" borderId="6" xfId="0" applyFont="1" applyBorder="1" applyAlignment="1">
      <alignment horizontal="left" wrapText="1"/>
    </xf>
    <xf numFmtId="0" fontId="18" fillId="13" borderId="59" xfId="0" applyFont="1" applyFill="1" applyBorder="1" applyAlignment="1">
      <alignment vertical="center" wrapText="1"/>
    </xf>
    <xf numFmtId="0" fontId="18" fillId="13" borderId="60" xfId="0" applyFont="1" applyFill="1" applyBorder="1" applyAlignment="1">
      <alignment vertical="center" wrapText="1"/>
    </xf>
    <xf numFmtId="0" fontId="12" fillId="0" borderId="4" xfId="0" applyFont="1" applyBorder="1"/>
    <xf numFmtId="0" fontId="12" fillId="0" borderId="1" xfId="0" applyFont="1" applyBorder="1"/>
    <xf numFmtId="0" fontId="5" fillId="7" borderId="57" xfId="0" applyFont="1" applyFill="1" applyBorder="1"/>
    <xf numFmtId="0" fontId="5" fillId="12" borderId="40" xfId="0" applyFont="1" applyFill="1" applyBorder="1"/>
    <xf numFmtId="0" fontId="6" fillId="7" borderId="57" xfId="0" applyFont="1" applyFill="1" applyBorder="1" applyAlignment="1">
      <alignment horizontal="left" wrapText="1"/>
    </xf>
    <xf numFmtId="0" fontId="6" fillId="12" borderId="17" xfId="0" applyFont="1" applyFill="1" applyBorder="1" applyAlignment="1">
      <alignment wrapText="1"/>
    </xf>
    <xf numFmtId="0" fontId="6" fillId="12" borderId="6" xfId="0" applyFont="1" applyFill="1" applyBorder="1" applyAlignment="1">
      <alignment wrapText="1"/>
    </xf>
    <xf numFmtId="0" fontId="8" fillId="12" borderId="6" xfId="0" applyFont="1" applyFill="1" applyBorder="1"/>
    <xf numFmtId="0" fontId="0" fillId="12" borderId="6" xfId="0" applyFill="1" applyBorder="1"/>
    <xf numFmtId="0" fontId="2" fillId="10" borderId="9" xfId="0" applyFont="1" applyFill="1" applyBorder="1" applyAlignment="1">
      <alignment horizontal="left" wrapText="1"/>
    </xf>
    <xf numFmtId="0" fontId="2" fillId="10" borderId="9" xfId="0" applyFont="1" applyFill="1" applyBorder="1"/>
    <xf numFmtId="0" fontId="2" fillId="10" borderId="11" xfId="0" applyFont="1" applyFill="1" applyBorder="1"/>
    <xf numFmtId="0" fontId="0" fillId="12" borderId="55" xfId="0" applyFill="1" applyBorder="1"/>
    <xf numFmtId="0" fontId="0" fillId="12" borderId="3" xfId="0" applyFill="1" applyBorder="1"/>
    <xf numFmtId="0" fontId="11" fillId="12" borderId="4" xfId="0" applyFont="1" applyFill="1" applyBorder="1"/>
    <xf numFmtId="0" fontId="0" fillId="12" borderId="5" xfId="0" applyFill="1" applyBorder="1"/>
    <xf numFmtId="0" fontId="0" fillId="12" borderId="55" xfId="0" applyFill="1" applyBorder="1" applyAlignment="1">
      <alignment horizontal="left"/>
    </xf>
    <xf numFmtId="0" fontId="11" fillId="12" borderId="6" xfId="0" applyFont="1" applyFill="1" applyBorder="1"/>
    <xf numFmtId="0" fontId="11" fillId="12" borderId="1" xfId="0" applyFont="1" applyFill="1" applyBorder="1"/>
    <xf numFmtId="0" fontId="11" fillId="12" borderId="2" xfId="0" applyFont="1" applyFill="1" applyBorder="1"/>
    <xf numFmtId="0" fontId="0" fillId="12" borderId="2" xfId="0" applyFill="1" applyBorder="1"/>
    <xf numFmtId="0" fontId="2" fillId="12" borderId="6" xfId="0" applyFont="1" applyFill="1" applyBorder="1"/>
    <xf numFmtId="0" fontId="2" fillId="12" borderId="6" xfId="0" applyFont="1" applyFill="1" applyBorder="1" applyAlignment="1">
      <alignment horizontal="left"/>
    </xf>
    <xf numFmtId="2" fontId="2" fillId="10" borderId="10" xfId="0" applyNumberFormat="1" applyFont="1" applyFill="1" applyBorder="1" applyAlignment="1">
      <alignment horizontal="left"/>
    </xf>
    <xf numFmtId="2" fontId="2" fillId="10" borderId="12" xfId="0" applyNumberFormat="1" applyFont="1" applyFill="1" applyBorder="1" applyAlignment="1">
      <alignment horizontal="left"/>
    </xf>
    <xf numFmtId="0" fontId="0" fillId="12" borderId="1" xfId="0" applyFill="1" applyBorder="1"/>
    <xf numFmtId="0" fontId="0" fillId="12" borderId="1" xfId="0" applyFill="1" applyBorder="1" applyAlignment="1">
      <alignment horizontal="left"/>
    </xf>
    <xf numFmtId="0" fontId="0" fillId="12" borderId="6" xfId="0" applyFill="1" applyBorder="1" applyAlignment="1">
      <alignment horizontal="left"/>
    </xf>
    <xf numFmtId="0" fontId="8" fillId="12" borderId="3" xfId="0" applyFont="1" applyFill="1" applyBorder="1"/>
    <xf numFmtId="2" fontId="2" fillId="10" borderId="9" xfId="0" applyNumberFormat="1" applyFont="1" applyFill="1" applyBorder="1" applyAlignment="1">
      <alignment horizontal="left"/>
    </xf>
    <xf numFmtId="1" fontId="2" fillId="10" borderId="10" xfId="0" applyNumberFormat="1" applyFont="1" applyFill="1" applyBorder="1" applyAlignment="1">
      <alignment horizontal="left"/>
    </xf>
    <xf numFmtId="2" fontId="2" fillId="10" borderId="11" xfId="0" applyNumberFormat="1" applyFont="1" applyFill="1" applyBorder="1" applyAlignment="1">
      <alignment horizontal="left"/>
    </xf>
    <xf numFmtId="164" fontId="2" fillId="10" borderId="14" xfId="0" applyNumberFormat="1" applyFont="1" applyFill="1" applyBorder="1" applyAlignment="1">
      <alignment horizontal="left"/>
    </xf>
    <xf numFmtId="1" fontId="2" fillId="10" borderId="12" xfId="0" applyNumberFormat="1" applyFont="1" applyFill="1" applyBorder="1" applyAlignment="1">
      <alignment horizontal="left"/>
    </xf>
    <xf numFmtId="0" fontId="10" fillId="10" borderId="9" xfId="0" applyFont="1" applyFill="1" applyBorder="1" applyAlignment="1">
      <alignment horizontal="left"/>
    </xf>
    <xf numFmtId="0" fontId="0" fillId="12" borderId="4" xfId="0" applyFill="1" applyBorder="1"/>
    <xf numFmtId="0" fontId="2" fillId="12" borderId="4" xfId="0" applyFont="1" applyFill="1" applyBorder="1" applyAlignment="1">
      <alignment horizontal="left"/>
    </xf>
    <xf numFmtId="0" fontId="0" fillId="12" borderId="4" xfId="0" applyFill="1" applyBorder="1" applyAlignment="1">
      <alignment horizontal="left"/>
    </xf>
    <xf numFmtId="0" fontId="2" fillId="12" borderId="4" xfId="0" applyFont="1" applyFill="1" applyBorder="1"/>
    <xf numFmtId="0" fontId="2" fillId="12" borderId="1" xfId="0" applyFont="1" applyFill="1" applyBorder="1"/>
    <xf numFmtId="0" fontId="8" fillId="12" borderId="1" xfId="0" applyFont="1" applyFill="1" applyBorder="1"/>
    <xf numFmtId="0" fontId="7" fillId="12" borderId="1" xfId="0" applyFont="1" applyFill="1" applyBorder="1"/>
    <xf numFmtId="0" fontId="2" fillId="12" borderId="1" xfId="0" applyFont="1" applyFill="1" applyBorder="1" applyAlignment="1">
      <alignment horizontal="left"/>
    </xf>
    <xf numFmtId="0" fontId="0" fillId="12" borderId="6" xfId="0" applyFill="1" applyBorder="1" applyProtection="1">
      <protection locked="0"/>
    </xf>
    <xf numFmtId="0" fontId="0" fillId="12" borderId="1" xfId="0" applyFill="1" applyBorder="1" applyProtection="1">
      <protection locked="0"/>
    </xf>
    <xf numFmtId="0" fontId="7" fillId="12" borderId="1" xfId="0" applyFont="1" applyFill="1" applyBorder="1" applyProtection="1">
      <protection locked="0"/>
    </xf>
    <xf numFmtId="0" fontId="0" fillId="12" borderId="1" xfId="0" applyFill="1" applyBorder="1" applyAlignment="1" applyProtection="1">
      <alignment horizontal="left"/>
      <protection locked="0"/>
    </xf>
    <xf numFmtId="0" fontId="18" fillId="13" borderId="62" xfId="0" applyFont="1" applyFill="1" applyBorder="1" applyAlignment="1">
      <alignment horizontal="left" vertical="center" wrapText="1"/>
    </xf>
    <xf numFmtId="0" fontId="18" fillId="13" borderId="63" xfId="0" applyFont="1" applyFill="1" applyBorder="1" applyAlignment="1">
      <alignment horizontal="left" vertical="center" wrapText="1"/>
    </xf>
    <xf numFmtId="0" fontId="10" fillId="0" borderId="0" xfId="2" applyFont="1" applyAlignment="1">
      <alignment vertical="top" wrapText="1"/>
    </xf>
    <xf numFmtId="0" fontId="8" fillId="0" borderId="0" xfId="2" applyFont="1" applyAlignment="1">
      <alignment vertical="top"/>
    </xf>
    <xf numFmtId="0" fontId="10" fillId="9" borderId="0" xfId="2" applyFont="1" applyFill="1" applyAlignment="1">
      <alignment vertical="top"/>
    </xf>
    <xf numFmtId="0" fontId="17" fillId="11" borderId="0" xfId="2" applyFont="1" applyFill="1" applyAlignment="1">
      <alignment vertical="top"/>
    </xf>
    <xf numFmtId="0" fontId="17" fillId="10" borderId="0" xfId="2" applyFont="1" applyFill="1" applyAlignment="1">
      <alignment vertical="top"/>
    </xf>
    <xf numFmtId="0" fontId="17" fillId="16" borderId="0" xfId="2" applyFont="1" applyFill="1" applyAlignment="1">
      <alignment vertical="top"/>
    </xf>
    <xf numFmtId="0" fontId="25" fillId="0" borderId="0" xfId="2" applyFont="1" applyAlignment="1">
      <alignment vertical="top" wrapText="1"/>
    </xf>
    <xf numFmtId="0" fontId="30" fillId="0" borderId="44" xfId="2" applyFont="1" applyBorder="1" applyAlignment="1">
      <alignment vertical="center"/>
    </xf>
    <xf numFmtId="0" fontId="35" fillId="17" borderId="63" xfId="1" applyFont="1" applyFill="1" applyBorder="1" applyAlignment="1">
      <alignment horizontal="left" vertical="center"/>
    </xf>
    <xf numFmtId="0" fontId="19" fillId="13" borderId="60" xfId="0" applyFont="1" applyFill="1" applyBorder="1" applyAlignment="1">
      <alignment horizontal="center"/>
    </xf>
    <xf numFmtId="0" fontId="19" fillId="13" borderId="61" xfId="0" applyFont="1" applyFill="1" applyBorder="1" applyAlignment="1">
      <alignment horizontal="center"/>
    </xf>
    <xf numFmtId="0" fontId="9" fillId="8" borderId="9" xfId="0" applyFont="1" applyFill="1" applyBorder="1" applyAlignment="1">
      <alignment horizontal="left" vertical="top" wrapText="1"/>
    </xf>
    <xf numFmtId="0" fontId="4" fillId="7" borderId="7" xfId="0" applyFont="1" applyFill="1" applyBorder="1" applyAlignment="1">
      <alignment horizontal="center"/>
    </xf>
    <xf numFmtId="0" fontId="4" fillId="7" borderId="13" xfId="0" applyFont="1" applyFill="1" applyBorder="1" applyAlignment="1">
      <alignment horizontal="center"/>
    </xf>
    <xf numFmtId="0" fontId="4" fillId="7" borderId="8" xfId="0" applyFont="1" applyFill="1" applyBorder="1" applyAlignment="1">
      <alignment horizontal="center"/>
    </xf>
    <xf numFmtId="0" fontId="9" fillId="8" borderId="1" xfId="0" applyFont="1" applyFill="1" applyBorder="1" applyAlignment="1">
      <alignment horizontal="left" vertical="top" wrapText="1"/>
    </xf>
    <xf numFmtId="0" fontId="9" fillId="8" borderId="10" xfId="0" applyFont="1" applyFill="1" applyBorder="1" applyAlignment="1">
      <alignment horizontal="left" vertical="top" wrapText="1"/>
    </xf>
    <xf numFmtId="0" fontId="4" fillId="7" borderId="23" xfId="0" applyFont="1" applyFill="1" applyBorder="1" applyAlignment="1">
      <alignment horizontal="center"/>
    </xf>
    <xf numFmtId="0" fontId="4" fillId="7" borderId="41" xfId="0" applyFont="1" applyFill="1" applyBorder="1" applyAlignment="1">
      <alignment horizontal="center"/>
    </xf>
    <xf numFmtId="0" fontId="4" fillId="7" borderId="24" xfId="0" applyFont="1" applyFill="1" applyBorder="1" applyAlignment="1">
      <alignment horizontal="center"/>
    </xf>
    <xf numFmtId="0" fontId="8" fillId="10" borderId="9" xfId="0" applyFont="1" applyFill="1" applyBorder="1" applyAlignment="1">
      <alignment horizontal="left"/>
    </xf>
    <xf numFmtId="0" fontId="8" fillId="10" borderId="1" xfId="0" applyFont="1" applyFill="1" applyBorder="1" applyAlignment="1">
      <alignment horizontal="left"/>
    </xf>
    <xf numFmtId="0" fontId="8" fillId="10" borderId="9" xfId="0" applyFont="1" applyFill="1" applyBorder="1" applyAlignment="1">
      <alignment horizontal="left" wrapText="1"/>
    </xf>
    <xf numFmtId="0" fontId="8" fillId="10" borderId="1" xfId="0" applyFont="1" applyFill="1" applyBorder="1" applyAlignment="1">
      <alignment horizontal="left" wrapText="1"/>
    </xf>
    <xf numFmtId="1" fontId="2" fillId="9" borderId="1" xfId="0" applyNumberFormat="1" applyFont="1" applyFill="1" applyBorder="1" applyAlignment="1" applyProtection="1">
      <alignment horizontal="left"/>
      <protection locked="0"/>
    </xf>
    <xf numFmtId="1" fontId="2" fillId="9" borderId="10" xfId="0" applyNumberFormat="1" applyFont="1" applyFill="1" applyBorder="1" applyAlignment="1" applyProtection="1">
      <alignment horizontal="left"/>
      <protection locked="0"/>
    </xf>
    <xf numFmtId="2" fontId="10" fillId="10" borderId="1" xfId="0" applyNumberFormat="1" applyFont="1" applyFill="1" applyBorder="1" applyAlignment="1">
      <alignment horizontal="left"/>
    </xf>
    <xf numFmtId="0" fontId="4" fillId="7" borderId="56" xfId="0" applyFont="1" applyFill="1" applyBorder="1" applyAlignment="1">
      <alignment horizontal="center"/>
    </xf>
    <xf numFmtId="0" fontId="4" fillId="7" borderId="6" xfId="0" applyFont="1" applyFill="1" applyBorder="1" applyAlignment="1">
      <alignment horizontal="center"/>
    </xf>
    <xf numFmtId="0" fontId="2" fillId="11" borderId="1" xfId="0" applyFont="1" applyFill="1" applyBorder="1" applyAlignment="1" applyProtection="1">
      <alignment horizontal="left"/>
      <protection locked="0"/>
    </xf>
    <xf numFmtId="0" fontId="2" fillId="11" borderId="10" xfId="0" applyFont="1" applyFill="1" applyBorder="1" applyAlignment="1" applyProtection="1">
      <alignment horizontal="left"/>
      <protection locked="0"/>
    </xf>
    <xf numFmtId="164" fontId="2" fillId="9" borderId="1" xfId="0" applyNumberFormat="1" applyFont="1" applyFill="1" applyBorder="1" applyAlignment="1" applyProtection="1">
      <alignment horizontal="left"/>
      <protection locked="0"/>
    </xf>
    <xf numFmtId="164" fontId="2" fillId="9" borderId="10" xfId="0" applyNumberFormat="1" applyFont="1" applyFill="1" applyBorder="1" applyAlignment="1" applyProtection="1">
      <alignment horizontal="left"/>
      <protection locked="0"/>
    </xf>
    <xf numFmtId="1" fontId="2" fillId="16" borderId="14" xfId="0" applyNumberFormat="1" applyFont="1" applyFill="1" applyBorder="1" applyAlignment="1" applyProtection="1">
      <alignment horizontal="left"/>
      <protection locked="0"/>
    </xf>
    <xf numFmtId="1" fontId="2" fillId="16" borderId="12" xfId="0" applyNumberFormat="1" applyFont="1" applyFill="1" applyBorder="1" applyAlignment="1" applyProtection="1">
      <alignment horizontal="left"/>
      <protection locked="0"/>
    </xf>
    <xf numFmtId="0" fontId="6" fillId="7" borderId="58" xfId="0" applyFont="1" applyFill="1" applyBorder="1" applyAlignment="1">
      <alignment horizontal="center" wrapText="1"/>
    </xf>
    <xf numFmtId="0" fontId="6" fillId="7" borderId="40" xfId="0" applyFont="1" applyFill="1" applyBorder="1" applyAlignment="1">
      <alignment horizontal="center" wrapText="1"/>
    </xf>
    <xf numFmtId="0" fontId="6" fillId="7" borderId="17" xfId="0" applyFont="1" applyFill="1" applyBorder="1" applyAlignment="1">
      <alignment horizontal="center" wrapText="1"/>
    </xf>
    <xf numFmtId="0" fontId="8" fillId="10" borderId="11" xfId="0" applyFont="1" applyFill="1" applyBorder="1" applyAlignment="1">
      <alignment horizontal="left"/>
    </xf>
    <xf numFmtId="0" fontId="8" fillId="10" borderId="14" xfId="0" applyFont="1" applyFill="1" applyBorder="1" applyAlignment="1">
      <alignment horizontal="left"/>
    </xf>
    <xf numFmtId="0" fontId="10" fillId="11" borderId="9" xfId="0" applyFont="1" applyFill="1" applyBorder="1" applyAlignment="1" applyProtection="1">
      <alignment horizontal="left"/>
      <protection locked="0"/>
    </xf>
    <xf numFmtId="0" fontId="10" fillId="11" borderId="1" xfId="0" applyFont="1" applyFill="1" applyBorder="1" applyAlignment="1" applyProtection="1">
      <alignment horizontal="left"/>
      <protection locked="0"/>
    </xf>
    <xf numFmtId="0" fontId="10" fillId="11" borderId="11" xfId="0" applyFont="1" applyFill="1" applyBorder="1" applyAlignment="1" applyProtection="1">
      <alignment horizontal="left"/>
      <protection locked="0"/>
    </xf>
    <xf numFmtId="0" fontId="10" fillId="11" borderId="14" xfId="0" applyFont="1" applyFill="1" applyBorder="1" applyAlignment="1" applyProtection="1">
      <alignment horizontal="left"/>
      <protection locked="0"/>
    </xf>
    <xf numFmtId="2" fontId="10" fillId="10" borderId="2" xfId="0" applyNumberFormat="1" applyFont="1" applyFill="1" applyBorder="1" applyAlignment="1">
      <alignment horizontal="left"/>
    </xf>
    <xf numFmtId="2" fontId="10" fillId="10" borderId="42" xfId="0" applyNumberFormat="1" applyFont="1" applyFill="1" applyBorder="1" applyAlignment="1">
      <alignment horizontal="left"/>
    </xf>
    <xf numFmtId="0" fontId="18" fillId="13" borderId="65" xfId="0" applyFont="1" applyFill="1" applyBorder="1" applyAlignment="1">
      <alignment horizontal="left" vertical="center" wrapText="1"/>
    </xf>
    <xf numFmtId="0" fontId="18" fillId="13" borderId="64" xfId="0" applyFont="1" applyFill="1" applyBorder="1" applyAlignment="1">
      <alignment horizontal="left" vertical="center" wrapText="1"/>
    </xf>
    <xf numFmtId="0" fontId="9" fillId="8" borderId="47" xfId="0" applyFont="1" applyFill="1" applyBorder="1" applyAlignment="1">
      <alignment horizontal="left" vertical="top" wrapText="1"/>
    </xf>
    <xf numFmtId="0" fontId="9" fillId="8" borderId="16" xfId="0" applyFont="1" applyFill="1" applyBorder="1" applyAlignment="1">
      <alignment horizontal="left" vertical="top" wrapText="1"/>
    </xf>
    <xf numFmtId="0" fontId="9" fillId="8" borderId="54" xfId="0" applyFont="1" applyFill="1" applyBorder="1" applyAlignment="1">
      <alignment horizontal="left" vertical="top" wrapText="1"/>
    </xf>
    <xf numFmtId="0" fontId="9" fillId="8" borderId="17" xfId="0" applyFont="1" applyFill="1" applyBorder="1" applyAlignment="1">
      <alignment horizontal="left" vertical="top" wrapText="1"/>
    </xf>
    <xf numFmtId="0" fontId="2" fillId="9" borderId="1" xfId="0" applyFont="1" applyFill="1" applyBorder="1" applyAlignment="1" applyProtection="1">
      <alignment horizontal="left"/>
      <protection locked="0"/>
    </xf>
    <xf numFmtId="0" fontId="2" fillId="9" borderId="10" xfId="0" applyFont="1" applyFill="1" applyBorder="1" applyAlignment="1" applyProtection="1">
      <alignment horizontal="left"/>
      <protection locked="0"/>
    </xf>
    <xf numFmtId="2" fontId="2" fillId="9" borderId="1" xfId="0" applyNumberFormat="1" applyFont="1" applyFill="1" applyBorder="1" applyAlignment="1" applyProtection="1">
      <alignment horizontal="left"/>
      <protection locked="0"/>
    </xf>
    <xf numFmtId="2" fontId="2" fillId="9" borderId="10" xfId="0" applyNumberFormat="1" applyFont="1" applyFill="1" applyBorder="1" applyAlignment="1" applyProtection="1">
      <alignment horizontal="left"/>
      <protection locked="0"/>
    </xf>
    <xf numFmtId="0" fontId="24" fillId="7" borderId="47" xfId="0" applyFont="1" applyFill="1" applyBorder="1" applyAlignment="1">
      <alignment horizontal="center" vertical="center" wrapText="1"/>
    </xf>
    <xf numFmtId="0" fontId="24" fillId="7" borderId="15" xfId="0" applyFont="1" applyFill="1" applyBorder="1" applyAlignment="1">
      <alignment horizontal="center" vertical="center" wrapText="1"/>
    </xf>
    <xf numFmtId="0" fontId="21" fillId="3" borderId="23" xfId="0" applyFont="1" applyFill="1" applyBorder="1" applyAlignment="1">
      <alignment horizontal="left" vertical="top"/>
    </xf>
    <xf numFmtId="0" fontId="21" fillId="3" borderId="24" xfId="0" applyFont="1" applyFill="1" applyBorder="1" applyAlignment="1">
      <alignment horizontal="left" vertical="top"/>
    </xf>
    <xf numFmtId="0" fontId="29" fillId="0" borderId="44" xfId="1" applyFont="1" applyBorder="1" applyAlignment="1" applyProtection="1">
      <alignment horizontal="left" vertical="center" wrapText="1"/>
    </xf>
    <xf numFmtId="0" fontId="29" fillId="0" borderId="0" xfId="1" applyFont="1" applyBorder="1" applyAlignment="1" applyProtection="1">
      <alignment horizontal="left" vertical="center" wrapText="1"/>
    </xf>
    <xf numFmtId="0" fontId="29" fillId="0" borderId="40" xfId="1" applyFont="1" applyBorder="1" applyAlignment="1" applyProtection="1">
      <alignment horizontal="left" vertical="center" wrapText="1"/>
    </xf>
    <xf numFmtId="0" fontId="15" fillId="7" borderId="45" xfId="0" applyFont="1" applyFill="1" applyBorder="1" applyAlignment="1">
      <alignment horizontal="center" wrapText="1"/>
    </xf>
    <xf numFmtId="0" fontId="15" fillId="7" borderId="67" xfId="0" applyFont="1" applyFill="1" applyBorder="1" applyAlignment="1">
      <alignment horizontal="center" wrapText="1"/>
    </xf>
    <xf numFmtId="0" fontId="15" fillId="7" borderId="68" xfId="0" applyFont="1" applyFill="1" applyBorder="1" applyAlignment="1">
      <alignment horizontal="center" wrapText="1"/>
    </xf>
    <xf numFmtId="0" fontId="21" fillId="7" borderId="7"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29" fillId="0" borderId="11" xfId="1" applyFont="1" applyBorder="1" applyAlignment="1" applyProtection="1">
      <alignment horizontal="left" vertical="center"/>
    </xf>
    <xf numFmtId="0" fontId="29" fillId="0" borderId="14" xfId="1" applyFont="1" applyBorder="1" applyAlignment="1" applyProtection="1">
      <alignment horizontal="left" vertical="center"/>
    </xf>
    <xf numFmtId="0" fontId="29" fillId="0" borderId="48" xfId="1" applyFont="1" applyBorder="1" applyAlignment="1" applyProtection="1">
      <alignment horizontal="left" vertical="center" wrapText="1"/>
    </xf>
    <xf numFmtId="0" fontId="29" fillId="0" borderId="49" xfId="1" applyFont="1" applyBorder="1" applyAlignment="1" applyProtection="1">
      <alignment horizontal="left" vertical="center" wrapText="1"/>
    </xf>
    <xf numFmtId="0" fontId="29" fillId="0" borderId="45" xfId="1" applyFont="1" applyBorder="1" applyAlignment="1" applyProtection="1">
      <alignment horizontal="left" vertical="center" wrapText="1"/>
    </xf>
    <xf numFmtId="0" fontId="29" fillId="0" borderId="46" xfId="1" applyFont="1" applyBorder="1" applyAlignment="1" applyProtection="1">
      <alignment horizontal="left" vertical="center" wrapText="1"/>
    </xf>
    <xf numFmtId="0" fontId="10" fillId="0" borderId="48" xfId="2" applyFont="1" applyBorder="1" applyAlignment="1">
      <alignment horizontal="left" vertical="top" wrapText="1"/>
    </xf>
    <xf numFmtId="0" fontId="10" fillId="0" borderId="15" xfId="2" applyFont="1" applyBorder="1" applyAlignment="1">
      <alignment horizontal="left" vertical="top" wrapText="1"/>
    </xf>
    <xf numFmtId="0" fontId="10" fillId="0" borderId="16" xfId="2" applyFont="1" applyBorder="1" applyAlignment="1">
      <alignment horizontal="left" vertical="top" wrapText="1"/>
    </xf>
    <xf numFmtId="0" fontId="10" fillId="0" borderId="52" xfId="2" applyFont="1" applyBorder="1" applyAlignment="1">
      <alignment horizontal="left" vertical="top" wrapText="1"/>
    </xf>
    <xf numFmtId="0" fontId="10" fillId="0" borderId="0" xfId="2" applyFont="1" applyAlignment="1">
      <alignment horizontal="left" vertical="top" wrapText="1"/>
    </xf>
    <xf numFmtId="0" fontId="10" fillId="0" borderId="66" xfId="2" applyFont="1" applyBorder="1" applyAlignment="1">
      <alignment horizontal="left" vertical="top" wrapText="1"/>
    </xf>
    <xf numFmtId="0" fontId="10" fillId="0" borderId="58" xfId="2" applyFont="1" applyBorder="1" applyAlignment="1">
      <alignment horizontal="left" vertical="top" wrapText="1"/>
    </xf>
    <xf numFmtId="0" fontId="10" fillId="0" borderId="40" xfId="2" applyFont="1" applyBorder="1" applyAlignment="1">
      <alignment horizontal="left" vertical="top" wrapText="1"/>
    </xf>
    <xf numFmtId="0" fontId="10" fillId="0" borderId="17" xfId="2" applyFont="1" applyBorder="1" applyAlignment="1">
      <alignment horizontal="left" vertical="top" wrapText="1"/>
    </xf>
    <xf numFmtId="2" fontId="31" fillId="0" borderId="1" xfId="0" applyNumberFormat="1" applyFont="1" applyBorder="1" applyAlignment="1">
      <alignment horizontal="left" vertical="center" wrapText="1"/>
    </xf>
    <xf numFmtId="2" fontId="31" fillId="0" borderId="10" xfId="0" applyNumberFormat="1" applyFont="1" applyBorder="1" applyAlignment="1">
      <alignment horizontal="left" vertical="center" wrapText="1"/>
    </xf>
    <xf numFmtId="0" fontId="2" fillId="0" borderId="25" xfId="0" applyFont="1" applyBorder="1" applyAlignment="1">
      <alignment horizontal="left" wrapText="1"/>
    </xf>
    <xf numFmtId="0" fontId="2" fillId="0" borderId="3" xfId="0" applyFont="1" applyBorder="1" applyAlignment="1">
      <alignment horizontal="left" wrapText="1"/>
    </xf>
    <xf numFmtId="0" fontId="29" fillId="0" borderId="50" xfId="1" applyFont="1" applyFill="1" applyBorder="1" applyAlignment="1" applyProtection="1">
      <alignment horizontal="left" vertical="center"/>
    </xf>
    <xf numFmtId="0" fontId="29" fillId="0" borderId="43" xfId="1" applyFont="1" applyFill="1" applyBorder="1" applyAlignment="1" applyProtection="1">
      <alignment horizontal="left" vertical="center"/>
    </xf>
    <xf numFmtId="0" fontId="29" fillId="0" borderId="19" xfId="1" applyFont="1" applyFill="1" applyBorder="1" applyAlignment="1" applyProtection="1">
      <alignment horizontal="left" vertical="center"/>
    </xf>
    <xf numFmtId="0" fontId="10" fillId="0" borderId="23" xfId="2" applyFont="1" applyBorder="1" applyAlignment="1">
      <alignment horizontal="left" vertical="top" wrapText="1"/>
    </xf>
    <xf numFmtId="0" fontId="10" fillId="0" borderId="41" xfId="2" applyFont="1" applyBorder="1" applyAlignment="1">
      <alignment horizontal="left" vertical="top" wrapText="1"/>
    </xf>
    <xf numFmtId="0" fontId="10" fillId="0" borderId="18" xfId="2" applyFont="1" applyBorder="1" applyAlignment="1">
      <alignment horizontal="left" vertical="top" wrapText="1"/>
    </xf>
    <xf numFmtId="0" fontId="23" fillId="0" borderId="25" xfId="1" applyFont="1" applyBorder="1" applyAlignment="1" applyProtection="1">
      <alignment horizontal="left" wrapText="1"/>
    </xf>
    <xf numFmtId="0" fontId="23" fillId="0" borderId="3" xfId="1" applyFont="1" applyBorder="1" applyAlignment="1" applyProtection="1">
      <alignment horizontal="left" wrapText="1"/>
    </xf>
    <xf numFmtId="0" fontId="23" fillId="0" borderId="50" xfId="1" applyFont="1" applyBorder="1" applyAlignment="1" applyProtection="1">
      <alignment horizontal="left" wrapText="1"/>
    </xf>
    <xf numFmtId="0" fontId="23" fillId="0" borderId="43" xfId="1" applyFont="1" applyBorder="1" applyAlignment="1" applyProtection="1">
      <alignment horizontal="left" wrapText="1"/>
    </xf>
    <xf numFmtId="0" fontId="21" fillId="7" borderId="23" xfId="0" applyFont="1" applyFill="1" applyBorder="1" applyAlignment="1">
      <alignment horizontal="center" vertical="center" wrapText="1"/>
    </xf>
    <xf numFmtId="0" fontId="21" fillId="7" borderId="41" xfId="0" applyFont="1" applyFill="1" applyBorder="1" applyAlignment="1">
      <alignment horizontal="center" vertical="center" wrapText="1"/>
    </xf>
    <xf numFmtId="0" fontId="2" fillId="10" borderId="26" xfId="0" applyFont="1" applyFill="1" applyBorder="1" applyAlignment="1">
      <alignment horizontal="left"/>
    </xf>
    <xf numFmtId="0" fontId="2" fillId="10" borderId="27" xfId="0" applyFont="1" applyFill="1" applyBorder="1" applyAlignment="1">
      <alignment horizontal="left"/>
    </xf>
    <xf numFmtId="0" fontId="4" fillId="7" borderId="18" xfId="0" applyFont="1" applyFill="1" applyBorder="1" applyAlignment="1">
      <alignment horizontal="center"/>
    </xf>
    <xf numFmtId="0" fontId="21" fillId="3" borderId="23" xfId="0" applyFont="1" applyFill="1" applyBorder="1" applyAlignment="1">
      <alignment horizontal="center" vertical="top"/>
    </xf>
    <xf numFmtId="0" fontId="21" fillId="3" borderId="41" xfId="0" applyFont="1" applyFill="1" applyBorder="1" applyAlignment="1">
      <alignment horizontal="center" vertical="top"/>
    </xf>
    <xf numFmtId="0" fontId="21" fillId="3" borderId="24" xfId="0" applyFont="1" applyFill="1" applyBorder="1" applyAlignment="1">
      <alignment horizontal="center" vertical="top"/>
    </xf>
    <xf numFmtId="0" fontId="4" fillId="7" borderId="28" xfId="0" applyFont="1" applyFill="1" applyBorder="1" applyAlignment="1">
      <alignment horizontal="center"/>
    </xf>
    <xf numFmtId="0" fontId="4" fillId="7" borderId="33" xfId="0" applyFont="1" applyFill="1" applyBorder="1" applyAlignment="1">
      <alignment horizontal="center"/>
    </xf>
    <xf numFmtId="0" fontId="4" fillId="7" borderId="34" xfId="0" applyFont="1" applyFill="1" applyBorder="1" applyAlignment="1">
      <alignment horizontal="center"/>
    </xf>
    <xf numFmtId="0" fontId="9" fillId="8" borderId="5" xfId="0" applyFont="1" applyFill="1" applyBorder="1" applyAlignment="1">
      <alignment horizontal="left" vertical="top" wrapText="1"/>
    </xf>
    <xf numFmtId="0" fontId="9" fillId="8" borderId="6" xfId="0" applyFont="1" applyFill="1" applyBorder="1" applyAlignment="1">
      <alignment horizontal="left" vertical="top" wrapText="1"/>
    </xf>
    <xf numFmtId="0" fontId="9" fillId="8" borderId="36" xfId="0" applyFont="1" applyFill="1" applyBorder="1" applyAlignment="1">
      <alignment horizontal="left" vertical="top" wrapText="1"/>
    </xf>
    <xf numFmtId="0" fontId="9" fillId="8" borderId="38" xfId="0" applyFont="1" applyFill="1" applyBorder="1" applyAlignment="1">
      <alignment horizontal="left" vertical="top" wrapText="1"/>
    </xf>
    <xf numFmtId="0" fontId="9" fillId="8" borderId="35" xfId="0" applyFont="1" applyFill="1" applyBorder="1" applyAlignment="1">
      <alignment horizontal="left" vertical="top" wrapText="1"/>
    </xf>
    <xf numFmtId="0" fontId="9" fillId="8" borderId="37" xfId="0" applyFont="1" applyFill="1" applyBorder="1" applyAlignment="1">
      <alignment horizontal="left" vertical="top" wrapText="1"/>
    </xf>
  </cellXfs>
  <cellStyles count="4">
    <cellStyle name="Comma" xfId="3" builtinId="3"/>
    <cellStyle name="Hyperlink" xfId="1" builtinId="8"/>
    <cellStyle name="Normal" xfId="0" builtinId="0"/>
    <cellStyle name="Normal 2" xfId="2" xr:uid="{7832273C-4E57-4FB9-937A-CAD3F40812B9}"/>
  </cellStyles>
  <dxfs count="2">
    <dxf>
      <font>
        <b/>
        <color rgb="FF166534"/>
      </font>
    </dxf>
    <dxf>
      <font>
        <b/>
        <color rgb="FFB91C1C"/>
      </font>
    </dxf>
  </dxfs>
  <tableStyles count="1" defaultTableStyle="TableStyleMedium2" defaultPivotStyle="PivotStyleLight16">
    <tableStyle name="Invisible" pivot="0" table="0" count="0" xr9:uid="{175BDE8C-D1BF-4F21-8A4F-82A22F2A3D41}"/>
  </tableStyles>
  <colors>
    <mruColors>
      <color rgb="FF0000FF"/>
      <color rgb="FFDDF7E1"/>
      <color rgb="FFFFF2CC"/>
      <color rgb="FF83CCEB"/>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Total cost $/ac</c:v>
          </c:tx>
          <c:invertIfNegative val="1"/>
          <c:cat>
            <c:strRef>
              <c:f>'Liming Economic Calculator'!$E$5:$E$8</c:f>
              <c:strCache>
                <c:ptCount val="4"/>
                <c:pt idx="0">
                  <c:v>Dolomitic lime (CaMg(CO3)2)</c:v>
                </c:pt>
                <c:pt idx="1">
                  <c:v>Slaked/hydrated lime (Ca(OH)2)</c:v>
                </c:pt>
                <c:pt idx="2">
                  <c:v>Wood ash</c:v>
                </c:pt>
                <c:pt idx="3">
                  <c:v>Custom product 1</c:v>
                </c:pt>
              </c:strCache>
            </c:strRef>
          </c:cat>
          <c:val>
            <c:numRef>
              <c:f>'Backend Calculation'!$P$4:$P$7</c:f>
              <c:numCache>
                <c:formatCode>0.00</c:formatCode>
                <c:ptCount val="4"/>
                <c:pt idx="0">
                  <c:v>2425.9323671497582</c:v>
                </c:pt>
                <c:pt idx="1">
                  <c:v>3326.4905149051483</c:v>
                </c:pt>
                <c:pt idx="2">
                  <c:v>2547.7499999999991</c:v>
                </c:pt>
                <c:pt idx="3">
                  <c:v>3540.5592935239697</c:v>
                </c:pt>
              </c:numCache>
            </c:numRef>
          </c:val>
          <c:extLst>
            <c:ext xmlns:c16="http://schemas.microsoft.com/office/drawing/2014/chart" uri="{C3380CC4-5D6E-409C-BE32-E72D297353CC}">
              <c16:uniqueId val="{00000000-4D11-409F-930D-67C47331DA40}"/>
            </c:ext>
          </c:extLst>
        </c:ser>
        <c:ser>
          <c:idx val="1"/>
          <c:order val="1"/>
          <c:tx>
            <c:v>Net return $/ac</c:v>
          </c:tx>
          <c:invertIfNegative val="1"/>
          <c:cat>
            <c:strRef>
              <c:f>'Liming Economic Calculator'!$E$5:$E$8</c:f>
              <c:strCache>
                <c:ptCount val="4"/>
                <c:pt idx="0">
                  <c:v>Dolomitic lime (CaMg(CO3)2)</c:v>
                </c:pt>
                <c:pt idx="1">
                  <c:v>Slaked/hydrated lime (Ca(OH)2)</c:v>
                </c:pt>
                <c:pt idx="2">
                  <c:v>Wood ash</c:v>
                </c:pt>
                <c:pt idx="3">
                  <c:v>Custom product 1</c:v>
                </c:pt>
              </c:strCache>
            </c:strRef>
          </c:cat>
          <c:val>
            <c:numRef>
              <c:f>'Backend Calculation'!$R$4:$R$7</c:f>
              <c:numCache>
                <c:formatCode>0.00</c:formatCode>
                <c:ptCount val="4"/>
                <c:pt idx="0">
                  <c:v>1354.0676328502418</c:v>
                </c:pt>
                <c:pt idx="1">
                  <c:v>453.5094850948517</c:v>
                </c:pt>
                <c:pt idx="2">
                  <c:v>1232.2500000000009</c:v>
                </c:pt>
                <c:pt idx="3">
                  <c:v>239.4407064760303</c:v>
                </c:pt>
              </c:numCache>
            </c:numRef>
          </c:val>
          <c:extLst>
            <c:ext xmlns:c16="http://schemas.microsoft.com/office/drawing/2014/chart" uri="{C3380CC4-5D6E-409C-BE32-E72D297353CC}">
              <c16:uniqueId val="{00000001-4D11-409F-930D-67C47331DA40}"/>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 sourceLinked="0"/>
        <c:majorTickMark val="out"/>
        <c:minorTickMark val="none"/>
        <c:tickLblPos val="nextTo"/>
        <c:spPr>
          <a:ln/>
        </c:spPr>
        <c:crossAx val="48650112"/>
        <c:crosses val="autoZero"/>
        <c:crossBetween val="between"/>
      </c:valAx>
    </c:plotArea>
    <c:legend>
      <c:legendPos val="b"/>
      <c:layout>
        <c:manualLayout>
          <c:xMode val="edge"/>
          <c:yMode val="edge"/>
          <c:x val="0.15568765753330521"/>
          <c:y val="0.89880169366694818"/>
          <c:w val="0.72927856427189186"/>
          <c:h val="8.7154178858736914E-2"/>
        </c:manualLayout>
      </c:layout>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594360</xdr:colOff>
      <xdr:row>0</xdr:row>
      <xdr:rowOff>19050</xdr:rowOff>
    </xdr:from>
    <xdr:to>
      <xdr:col>0</xdr:col>
      <xdr:colOff>2894183</xdr:colOff>
      <xdr:row>0</xdr:row>
      <xdr:rowOff>956707</xdr:rowOff>
    </xdr:to>
    <xdr:pic>
      <xdr:nvPicPr>
        <xdr:cNvPr id="2" name="Picture 1">
          <a:extLst>
            <a:ext uri="{FF2B5EF4-FFF2-40B4-BE49-F238E27FC236}">
              <a16:creationId xmlns:a16="http://schemas.microsoft.com/office/drawing/2014/main" id="{0CC257D2-53A3-4158-BAC0-5AD14612CA0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102" t="19045" r="8665" b="15238"/>
        <a:stretch>
          <a:fillRect/>
        </a:stretch>
      </xdr:blipFill>
      <xdr:spPr bwMode="auto">
        <a:xfrm>
          <a:off x="594360" y="19050"/>
          <a:ext cx="2299823" cy="937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29898</xdr:colOff>
      <xdr:row>8</xdr:row>
      <xdr:rowOff>239781</xdr:rowOff>
    </xdr:from>
    <xdr:to>
      <xdr:col>15</xdr:col>
      <xdr:colOff>1088583</xdr:colOff>
      <xdr:row>22</xdr:row>
      <xdr:rowOff>57729</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156872</xdr:colOff>
      <xdr:row>0</xdr:row>
      <xdr:rowOff>34704</xdr:rowOff>
    </xdr:from>
    <xdr:to>
      <xdr:col>0</xdr:col>
      <xdr:colOff>2472763</xdr:colOff>
      <xdr:row>0</xdr:row>
      <xdr:rowOff>987849</xdr:rowOff>
    </xdr:to>
    <xdr:pic>
      <xdr:nvPicPr>
        <xdr:cNvPr id="3" name="Picture 2">
          <a:extLst>
            <a:ext uri="{FF2B5EF4-FFF2-40B4-BE49-F238E27FC236}">
              <a16:creationId xmlns:a16="http://schemas.microsoft.com/office/drawing/2014/main" id="{386CD429-4567-4216-B25F-DB220748BC81}"/>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102" t="19045" r="8665" b="15238"/>
        <a:stretch>
          <a:fillRect/>
        </a:stretch>
      </xdr:blipFill>
      <xdr:spPr bwMode="auto">
        <a:xfrm>
          <a:off x="156872" y="34704"/>
          <a:ext cx="2315891" cy="953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2.gov.bc.ca/assets/download/E10AC8D977F34808A55F1BF1D214111D"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2.gov.bc.ca/assets/gov/farming-natural-resources-and-industry/agriculture-and-seafood/agricultural-land-and-environment/soil-nutrients/600-series/637000-1_liming_acid_soils_in_central_bc.pdf" TargetMode="External"/><Relationship Id="rId2" Type="http://schemas.openxmlformats.org/officeDocument/2006/relationships/hyperlink" Target="https://governmentofbc.maps.arcgis.com/apps/webappviewer/index.html?id=28dae855df3e42db8edc04319aa2dbf5" TargetMode="External"/><Relationship Id="rId1" Type="http://schemas.openxmlformats.org/officeDocument/2006/relationships/hyperlink" Target="https://lgpress.clemson.edu/publication/basis-of-selecting-a-lime-material/" TargetMode="External"/><Relationship Id="rId5" Type="http://schemas.openxmlformats.org/officeDocument/2006/relationships/hyperlink" Target="https://www2.gov.bc.ca/assets/gov/farming-natural-resources-and-industry/agriculture-and-seafood/agricultural-land-and-environment/soil-nutrients/600-series/637100-1_understanding_soil_ph.pdf" TargetMode="External"/><Relationship Id="rId4" Type="http://schemas.openxmlformats.org/officeDocument/2006/relationships/hyperlink" Target="https://www2.gov.bc.ca/assets/gov/farming-natural-resources-and-industry/agriculture-and-seafood/agricultural-land-and-environment/soil-nutrients/600-series/637200-2_evaluation_agricultural_limeston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2596C-7097-45DE-8910-14701DDDD027}">
  <sheetPr codeName="Sheet1">
    <tabColor rgb="FF1F4E78"/>
  </sheetPr>
  <dimension ref="A1:H20"/>
  <sheetViews>
    <sheetView showGridLines="0" tabSelected="1" zoomScaleNormal="100" workbookViewId="0">
      <pane ySplit="1" topLeftCell="A2" activePane="bottomLeft" state="frozen"/>
      <selection pane="bottomLeft" activeCell="L4" sqref="L4"/>
    </sheetView>
  </sheetViews>
  <sheetFormatPr defaultColWidth="7.75" defaultRowHeight="18"/>
  <cols>
    <col min="1" max="1" width="53.75" style="83" customWidth="1"/>
    <col min="2" max="6" width="16.375" style="83" customWidth="1"/>
    <col min="7" max="7" width="23.5" style="83" customWidth="1"/>
    <col min="8" max="8" width="7.75" style="84"/>
    <col min="9" max="16384" width="7.75" style="49"/>
  </cols>
  <sheetData>
    <row r="1" spans="1:8" ht="75.75" customHeight="1" thickBot="1">
      <c r="A1" s="81"/>
      <c r="B1" s="174" t="s">
        <v>129</v>
      </c>
      <c r="C1" s="175"/>
      <c r="D1" s="175"/>
      <c r="E1" s="175"/>
      <c r="F1" s="175"/>
      <c r="G1" s="175"/>
    </row>
    <row r="2" spans="1:8" s="89" customFormat="1" ht="25.5" customHeight="1" thickBot="1">
      <c r="A2" s="90" t="s">
        <v>128</v>
      </c>
      <c r="B2" s="184" t="s">
        <v>134</v>
      </c>
      <c r="C2" s="184"/>
      <c r="D2" s="184"/>
      <c r="E2" s="90"/>
      <c r="F2" s="90"/>
      <c r="G2" s="90"/>
      <c r="H2" s="88"/>
    </row>
    <row r="3" spans="1:8" ht="22.5" customHeight="1">
      <c r="A3" s="183" t="s">
        <v>83</v>
      </c>
      <c r="B3" s="183"/>
      <c r="C3" s="183"/>
      <c r="D3" s="183"/>
      <c r="E3" s="183"/>
      <c r="F3" s="183"/>
      <c r="G3" s="183"/>
    </row>
    <row r="4" spans="1:8">
      <c r="A4" s="82" t="s">
        <v>61</v>
      </c>
    </row>
    <row r="5" spans="1:8" ht="43.5" customHeight="1">
      <c r="A5" s="176" t="s">
        <v>109</v>
      </c>
      <c r="B5" s="176"/>
      <c r="C5" s="176"/>
      <c r="D5" s="176"/>
      <c r="E5" s="176"/>
      <c r="F5" s="176"/>
      <c r="G5" s="176"/>
    </row>
    <row r="6" spans="1:8">
      <c r="A6" s="82" t="s">
        <v>80</v>
      </c>
    </row>
    <row r="7" spans="1:8" ht="60.75" customHeight="1">
      <c r="A7" s="182" t="s">
        <v>131</v>
      </c>
      <c r="B7" s="182"/>
      <c r="C7" s="182"/>
      <c r="D7" s="182"/>
      <c r="E7" s="182"/>
      <c r="F7" s="182"/>
      <c r="G7" s="182"/>
    </row>
    <row r="8" spans="1:8">
      <c r="A8" s="82" t="s">
        <v>62</v>
      </c>
    </row>
    <row r="9" spans="1:8">
      <c r="A9" s="178" t="s">
        <v>65</v>
      </c>
      <c r="B9" s="178"/>
      <c r="C9" s="178"/>
      <c r="D9" s="178"/>
      <c r="E9" s="178"/>
      <c r="F9" s="178"/>
      <c r="G9" s="178"/>
    </row>
    <row r="10" spans="1:8">
      <c r="A10" s="179" t="s">
        <v>64</v>
      </c>
      <c r="B10" s="179"/>
      <c r="C10" s="179"/>
      <c r="D10" s="179"/>
      <c r="E10" s="179"/>
      <c r="F10" s="179"/>
      <c r="G10" s="179"/>
    </row>
    <row r="11" spans="1:8">
      <c r="A11" s="180" t="s">
        <v>84</v>
      </c>
      <c r="B11" s="180"/>
      <c r="C11" s="180"/>
      <c r="D11" s="180"/>
      <c r="E11" s="180"/>
      <c r="F11" s="180"/>
      <c r="G11" s="180"/>
    </row>
    <row r="12" spans="1:8">
      <c r="A12" s="181" t="s">
        <v>105</v>
      </c>
      <c r="B12" s="181"/>
      <c r="C12" s="181"/>
      <c r="D12" s="181"/>
      <c r="E12" s="181"/>
      <c r="F12" s="181"/>
      <c r="G12" s="181"/>
    </row>
    <row r="14" spans="1:8">
      <c r="A14" s="82" t="s">
        <v>63</v>
      </c>
    </row>
    <row r="15" spans="1:8" ht="21" customHeight="1">
      <c r="A15" s="177" t="s">
        <v>135</v>
      </c>
      <c r="B15" s="177"/>
      <c r="C15" s="177"/>
      <c r="D15" s="177"/>
      <c r="E15" s="177"/>
      <c r="F15" s="177"/>
      <c r="G15" s="177"/>
    </row>
    <row r="16" spans="1:8" ht="37.15" customHeight="1">
      <c r="A16" s="176" t="s">
        <v>130</v>
      </c>
      <c r="B16" s="176"/>
      <c r="C16" s="176"/>
      <c r="D16" s="176"/>
      <c r="E16" s="176"/>
      <c r="F16" s="176"/>
      <c r="G16" s="176"/>
    </row>
    <row r="17" spans="1:7" ht="39.6" customHeight="1">
      <c r="A17" s="176" t="s">
        <v>81</v>
      </c>
      <c r="B17" s="176"/>
      <c r="C17" s="176"/>
      <c r="D17" s="176"/>
      <c r="E17" s="176"/>
      <c r="F17" s="176"/>
      <c r="G17" s="176"/>
    </row>
    <row r="18" spans="1:7" ht="27" customHeight="1">
      <c r="A18" s="176" t="s">
        <v>138</v>
      </c>
      <c r="B18" s="176"/>
      <c r="C18" s="176"/>
      <c r="D18" s="176"/>
      <c r="E18" s="176"/>
      <c r="F18" s="176"/>
      <c r="G18" s="176"/>
    </row>
    <row r="19" spans="1:7" ht="27" customHeight="1">
      <c r="A19" s="176" t="s">
        <v>137</v>
      </c>
      <c r="B19" s="176"/>
      <c r="C19" s="176"/>
      <c r="D19" s="176"/>
      <c r="E19" s="176"/>
      <c r="F19" s="176"/>
      <c r="G19" s="176"/>
    </row>
    <row r="20" spans="1:7" ht="27" customHeight="1">
      <c r="A20" s="176" t="s">
        <v>136</v>
      </c>
      <c r="B20" s="176"/>
      <c r="C20" s="176"/>
      <c r="D20" s="176"/>
      <c r="E20" s="176"/>
      <c r="F20" s="176"/>
      <c r="G20" s="176"/>
    </row>
  </sheetData>
  <sheetProtection algorithmName="SHA-512" hashValue="PTbREa1s5JbZkz/Y1FF8r6KTNJcMhr0oujI1aXPRFv5rBJQ+MTLgndu9KeOGecPqhrqOJLLBwx7960Pxka2xNQ==" saltValue="RNsBS6PE4iZnR7F3UmZ3WQ==" spinCount="100000" sheet="1" objects="1" scenarios="1"/>
  <mergeCells count="15">
    <mergeCell ref="B1:G1"/>
    <mergeCell ref="A19:G19"/>
    <mergeCell ref="A20:G20"/>
    <mergeCell ref="A15:G15"/>
    <mergeCell ref="A9:G9"/>
    <mergeCell ref="A10:G10"/>
    <mergeCell ref="A11:G11"/>
    <mergeCell ref="A12:G12"/>
    <mergeCell ref="A16:G16"/>
    <mergeCell ref="A17:G17"/>
    <mergeCell ref="A18:G18"/>
    <mergeCell ref="A7:G7"/>
    <mergeCell ref="A5:G5"/>
    <mergeCell ref="A3:G3"/>
    <mergeCell ref="B2:D2"/>
  </mergeCells>
  <phoneticPr fontId="33" type="noConversion"/>
  <hyperlinks>
    <hyperlink ref="B2" r:id="rId1" tooltip="https://www2.gov.bc.ca/assets/download/FE25688409A2479D8586E4806BE57168" xr:uid="{09EB547B-3439-486F-AC01-4E0A1D77EF91}"/>
  </hyperlinks>
  <pageMargins left="0.75" right="0.75" top="1" bottom="1" header="0.511811023622047" footer="0.511811023622047"/>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tint="0.39997558519241921"/>
  </sheetPr>
  <dimension ref="A1:W45"/>
  <sheetViews>
    <sheetView zoomScale="115" zoomScaleNormal="115" workbookViewId="0">
      <pane ySplit="1" topLeftCell="A2" activePane="bottomLeft" state="frozen"/>
      <selection pane="bottomLeft" activeCell="A7" sqref="A7"/>
    </sheetView>
  </sheetViews>
  <sheetFormatPr defaultColWidth="9" defaultRowHeight="14.25"/>
  <cols>
    <col min="1" max="1" width="36.25" style="64" customWidth="1"/>
    <col min="2" max="2" width="15.75" style="68" customWidth="1"/>
    <col min="3" max="3" width="15.875" style="64" customWidth="1"/>
    <col min="4" max="4" width="17.125" style="64" customWidth="1"/>
    <col min="5" max="5" width="17.375" style="64" customWidth="1"/>
    <col min="6" max="6" width="18.625" style="64" customWidth="1"/>
    <col min="7" max="7" width="13" style="64" customWidth="1"/>
    <col min="8" max="8" width="12.25" style="64" customWidth="1"/>
    <col min="9" max="9" width="10" style="64" customWidth="1"/>
    <col min="10" max="10" width="19.5" style="64" customWidth="1"/>
    <col min="11" max="11" width="33.5" style="68" customWidth="1"/>
    <col min="12" max="12" width="9.875" style="64" customWidth="1"/>
    <col min="13" max="13" width="11.25" style="64" customWidth="1"/>
    <col min="14" max="14" width="11.125" style="64" customWidth="1"/>
    <col min="15" max="15" width="13.25" style="64" customWidth="1"/>
    <col min="16" max="16" width="15.875" style="64" customWidth="1"/>
    <col min="17" max="17" width="17.25" style="64" customWidth="1"/>
    <col min="18" max="18" width="13.875" style="64" customWidth="1"/>
    <col min="19" max="19" width="7" style="64" customWidth="1"/>
    <col min="20" max="20" width="10.125" style="64" customWidth="1"/>
    <col min="21" max="16384" width="9" style="64"/>
  </cols>
  <sheetData>
    <row r="1" spans="1:23" s="128" customFormat="1" ht="81" customHeight="1" thickBot="1">
      <c r="A1" s="125"/>
      <c r="B1" s="222" t="s">
        <v>132</v>
      </c>
      <c r="C1" s="175"/>
      <c r="D1" s="175"/>
      <c r="E1" s="175"/>
      <c r="F1" s="175"/>
      <c r="G1" s="175"/>
      <c r="H1" s="175"/>
      <c r="I1" s="175"/>
      <c r="J1" s="175"/>
      <c r="K1" s="223"/>
      <c r="L1" s="126"/>
      <c r="M1" s="185"/>
      <c r="N1" s="185"/>
      <c r="O1" s="185"/>
      <c r="P1" s="185"/>
      <c r="Q1" s="185"/>
      <c r="R1" s="185"/>
      <c r="S1" s="185"/>
      <c r="T1" s="185"/>
      <c r="U1" s="185"/>
      <c r="V1" s="186"/>
      <c r="W1" s="127"/>
    </row>
    <row r="2" spans="1:23" s="87" customFormat="1" ht="25.5" customHeight="1">
      <c r="A2" s="203" t="s">
        <v>46</v>
      </c>
      <c r="B2" s="204"/>
      <c r="C2" s="129"/>
      <c r="D2" s="130"/>
      <c r="E2" s="211" t="s">
        <v>48</v>
      </c>
      <c r="F2" s="212"/>
      <c r="G2" s="212"/>
      <c r="H2" s="212"/>
      <c r="I2" s="212"/>
      <c r="J2" s="213"/>
      <c r="K2" s="131"/>
      <c r="L2" s="132"/>
      <c r="M2" s="133"/>
      <c r="N2" s="133"/>
      <c r="O2" s="133"/>
      <c r="P2" s="134"/>
      <c r="Q2" s="135"/>
      <c r="R2" s="135"/>
      <c r="S2" s="135"/>
      <c r="T2" s="135"/>
      <c r="U2" s="135"/>
      <c r="V2" s="170"/>
    </row>
    <row r="3" spans="1:23" ht="20.25" customHeight="1">
      <c r="A3" s="136" t="s">
        <v>120</v>
      </c>
      <c r="B3" s="228" t="s">
        <v>139</v>
      </c>
      <c r="C3" s="229"/>
      <c r="D3" s="140"/>
      <c r="E3" s="187" t="s">
        <v>25</v>
      </c>
      <c r="F3" s="191"/>
      <c r="G3" s="191" t="s">
        <v>56</v>
      </c>
      <c r="H3" s="191" t="s">
        <v>26</v>
      </c>
      <c r="I3" s="191" t="s">
        <v>55</v>
      </c>
      <c r="J3" s="191" t="s">
        <v>39</v>
      </c>
      <c r="K3" s="192" t="s">
        <v>123</v>
      </c>
      <c r="L3" s="165"/>
      <c r="M3" s="166"/>
      <c r="N3" s="166"/>
      <c r="O3" s="166"/>
      <c r="P3" s="167"/>
      <c r="Q3" s="152"/>
      <c r="R3" s="152"/>
      <c r="S3" s="152"/>
      <c r="T3" s="152"/>
      <c r="U3" s="152"/>
      <c r="V3" s="171"/>
    </row>
    <row r="4" spans="1:23" ht="20.25" customHeight="1">
      <c r="A4" s="137" t="s">
        <v>0</v>
      </c>
      <c r="B4" s="207">
        <v>5.2</v>
      </c>
      <c r="C4" s="208"/>
      <c r="D4" s="140"/>
      <c r="E4" s="187"/>
      <c r="F4" s="191"/>
      <c r="G4" s="191"/>
      <c r="H4" s="191"/>
      <c r="I4" s="191"/>
      <c r="J4" s="191"/>
      <c r="K4" s="192"/>
      <c r="L4" s="165"/>
      <c r="M4" s="166"/>
      <c r="N4" s="166"/>
      <c r="O4" s="166"/>
      <c r="P4" s="167"/>
      <c r="Q4" s="152"/>
      <c r="R4" s="152"/>
      <c r="S4" s="152"/>
      <c r="T4" s="152"/>
      <c r="U4" s="152"/>
      <c r="V4" s="171"/>
    </row>
    <row r="5" spans="1:23" ht="30" customHeight="1">
      <c r="A5" s="137" t="s">
        <v>4</v>
      </c>
      <c r="B5" s="207">
        <v>6.7</v>
      </c>
      <c r="C5" s="208"/>
      <c r="D5" s="140"/>
      <c r="E5" s="216" t="s">
        <v>113</v>
      </c>
      <c r="F5" s="217"/>
      <c r="G5" s="65">
        <v>138</v>
      </c>
      <c r="H5" s="66">
        <v>0.9</v>
      </c>
      <c r="I5" s="72">
        <v>890</v>
      </c>
      <c r="J5" s="72">
        <v>14</v>
      </c>
      <c r="K5" s="73">
        <v>24</v>
      </c>
      <c r="L5" s="165"/>
      <c r="M5" s="166"/>
      <c r="N5" s="166"/>
      <c r="O5" s="166"/>
      <c r="P5" s="167"/>
      <c r="Q5" s="152"/>
      <c r="R5" s="152"/>
      <c r="S5" s="152"/>
      <c r="T5" s="152"/>
      <c r="U5" s="152"/>
      <c r="V5" s="171"/>
    </row>
    <row r="6" spans="1:23" ht="33.75" customHeight="1">
      <c r="A6" s="136" t="s">
        <v>100</v>
      </c>
      <c r="B6" s="230">
        <v>3.3</v>
      </c>
      <c r="C6" s="231"/>
      <c r="D6" s="140"/>
      <c r="E6" s="216" t="s">
        <v>140</v>
      </c>
      <c r="F6" s="217"/>
      <c r="G6" s="65">
        <v>108</v>
      </c>
      <c r="H6" s="66">
        <v>0.82</v>
      </c>
      <c r="I6" s="72">
        <v>870</v>
      </c>
      <c r="J6" s="72">
        <v>16</v>
      </c>
      <c r="K6" s="73">
        <v>25</v>
      </c>
      <c r="L6" s="165"/>
      <c r="M6" s="166"/>
      <c r="N6" s="166"/>
      <c r="O6" s="166"/>
      <c r="P6" s="167"/>
      <c r="Q6" s="152"/>
      <c r="R6" s="152"/>
      <c r="S6" s="152"/>
      <c r="T6" s="152"/>
      <c r="U6" s="152"/>
      <c r="V6" s="171"/>
    </row>
    <row r="7" spans="1:23" ht="24.75" customHeight="1">
      <c r="A7" s="137" t="s">
        <v>2</v>
      </c>
      <c r="B7" s="205" t="s">
        <v>71</v>
      </c>
      <c r="C7" s="206"/>
      <c r="D7" s="140"/>
      <c r="E7" s="216" t="s">
        <v>30</v>
      </c>
      <c r="F7" s="217"/>
      <c r="G7" s="65">
        <v>150</v>
      </c>
      <c r="H7" s="66">
        <v>0.8</v>
      </c>
      <c r="I7" s="72">
        <v>905</v>
      </c>
      <c r="J7" s="72">
        <v>12</v>
      </c>
      <c r="K7" s="73">
        <v>26</v>
      </c>
      <c r="L7" s="165"/>
      <c r="M7" s="166"/>
      <c r="N7" s="166"/>
      <c r="O7" s="166"/>
      <c r="P7" s="167"/>
      <c r="Q7" s="152"/>
      <c r="R7" s="152"/>
      <c r="S7" s="152"/>
      <c r="T7" s="152"/>
      <c r="U7" s="152"/>
      <c r="V7" s="171"/>
    </row>
    <row r="8" spans="1:23" ht="21.75" customHeight="1" thickBot="1">
      <c r="A8" s="137" t="s">
        <v>92</v>
      </c>
      <c r="B8" s="200">
        <v>6</v>
      </c>
      <c r="C8" s="201"/>
      <c r="D8" s="140"/>
      <c r="E8" s="218" t="s">
        <v>31</v>
      </c>
      <c r="F8" s="219"/>
      <c r="G8" s="69">
        <v>82</v>
      </c>
      <c r="H8" s="70">
        <v>0.87</v>
      </c>
      <c r="I8" s="74">
        <v>750</v>
      </c>
      <c r="J8" s="74">
        <v>10</v>
      </c>
      <c r="K8" s="75">
        <v>25</v>
      </c>
      <c r="L8" s="165"/>
      <c r="M8" s="166"/>
      <c r="N8" s="166"/>
      <c r="O8" s="166"/>
      <c r="P8" s="167"/>
      <c r="Q8" s="152"/>
      <c r="R8" s="152"/>
      <c r="S8" s="152"/>
      <c r="T8" s="152"/>
      <c r="U8" s="152"/>
      <c r="V8" s="171"/>
    </row>
    <row r="9" spans="1:23" ht="20.25" customHeight="1" thickBot="1">
      <c r="A9" s="137" t="s">
        <v>11</v>
      </c>
      <c r="B9" s="200">
        <v>50</v>
      </c>
      <c r="C9" s="201"/>
      <c r="D9" s="141"/>
      <c r="E9" s="144"/>
      <c r="F9" s="144"/>
      <c r="G9" s="144"/>
      <c r="H9" s="148"/>
      <c r="I9" s="144"/>
      <c r="J9" s="148"/>
      <c r="K9" s="149"/>
      <c r="L9" s="166"/>
      <c r="M9" s="166"/>
      <c r="N9" s="166"/>
      <c r="O9" s="166"/>
      <c r="P9" s="167"/>
      <c r="Q9" s="152"/>
      <c r="R9" s="152"/>
      <c r="S9" s="152"/>
      <c r="T9" s="152"/>
      <c r="U9" s="166"/>
      <c r="V9" s="171"/>
    </row>
    <row r="10" spans="1:23" ht="20.25" customHeight="1">
      <c r="A10" s="137" t="s">
        <v>3</v>
      </c>
      <c r="B10" s="205" t="s">
        <v>8</v>
      </c>
      <c r="C10" s="206"/>
      <c r="D10" s="141"/>
      <c r="E10" s="145"/>
      <c r="F10" s="145"/>
      <c r="G10" s="145"/>
      <c r="H10" s="193" t="s">
        <v>77</v>
      </c>
      <c r="I10" s="194"/>
      <c r="J10" s="194"/>
      <c r="K10" s="195"/>
      <c r="L10" s="166"/>
      <c r="M10" s="166"/>
      <c r="N10" s="166"/>
      <c r="O10" s="166"/>
      <c r="P10" s="167"/>
      <c r="Q10" s="152"/>
      <c r="R10" s="152"/>
      <c r="S10" s="152"/>
      <c r="T10" s="152"/>
      <c r="U10" s="166"/>
      <c r="V10" s="171"/>
    </row>
    <row r="11" spans="1:23" ht="20.25" customHeight="1">
      <c r="A11" s="137" t="s">
        <v>66</v>
      </c>
      <c r="B11" s="207">
        <v>3</v>
      </c>
      <c r="C11" s="208"/>
      <c r="D11" s="141"/>
      <c r="E11" s="145"/>
      <c r="F11" s="145"/>
      <c r="G11" s="146"/>
      <c r="H11" s="196" t="s">
        <v>67</v>
      </c>
      <c r="I11" s="197"/>
      <c r="J11" s="197"/>
      <c r="K11" s="150">
        <f>'Backend Calculation'!C12</f>
        <v>3.2999999999999994</v>
      </c>
      <c r="L11" s="165"/>
      <c r="M11" s="166"/>
      <c r="N11" s="166"/>
      <c r="O11" s="166"/>
      <c r="P11" s="167"/>
      <c r="Q11" s="152"/>
      <c r="R11" s="152"/>
      <c r="S11" s="152"/>
      <c r="T11" s="152"/>
      <c r="U11" s="166"/>
      <c r="V11" s="171"/>
    </row>
    <row r="12" spans="1:23" ht="20.25" customHeight="1">
      <c r="A12" s="137" t="s">
        <v>41</v>
      </c>
      <c r="B12" s="200">
        <v>420</v>
      </c>
      <c r="C12" s="201"/>
      <c r="D12" s="141"/>
      <c r="E12" s="145"/>
      <c r="F12" s="145"/>
      <c r="G12" s="146"/>
      <c r="H12" s="196" t="s">
        <v>5</v>
      </c>
      <c r="I12" s="197"/>
      <c r="J12" s="197"/>
      <c r="K12" s="150" t="str">
        <f>'Backend Calculation'!C13</f>
        <v>Dolomitic lime (CaMg(CO3)2)</v>
      </c>
      <c r="L12" s="165"/>
      <c r="M12" s="166"/>
      <c r="N12" s="166"/>
      <c r="O12" s="166"/>
      <c r="P12" s="167"/>
      <c r="Q12" s="152"/>
      <c r="R12" s="152"/>
      <c r="S12" s="152"/>
      <c r="T12" s="152"/>
      <c r="U12" s="166"/>
      <c r="V12" s="171"/>
    </row>
    <row r="13" spans="1:23" ht="20.25" customHeight="1" thickBot="1">
      <c r="A13" s="138" t="s">
        <v>21</v>
      </c>
      <c r="B13" s="209">
        <f>'Backend Calculation'!D8</f>
        <v>3</v>
      </c>
      <c r="C13" s="210"/>
      <c r="D13" s="141"/>
      <c r="E13" s="145"/>
      <c r="F13" s="145"/>
      <c r="G13" s="146"/>
      <c r="H13" s="196" t="s">
        <v>7</v>
      </c>
      <c r="I13" s="197"/>
      <c r="J13" s="197"/>
      <c r="K13" s="150" t="str">
        <f>'Backend Calculation'!C14</f>
        <v>Dolomitic lime (CaMg(CO3)2)</v>
      </c>
      <c r="L13" s="165"/>
      <c r="M13" s="166"/>
      <c r="N13" s="166"/>
      <c r="O13" s="166"/>
      <c r="P13" s="167"/>
      <c r="Q13" s="166"/>
      <c r="R13" s="166"/>
      <c r="S13" s="166"/>
      <c r="T13" s="166"/>
      <c r="U13" s="166"/>
      <c r="V13" s="171"/>
    </row>
    <row r="14" spans="1:23" ht="19.149999999999999" customHeight="1" thickBot="1">
      <c r="A14" s="139"/>
      <c r="B14" s="143"/>
      <c r="C14" s="139"/>
      <c r="D14" s="142"/>
      <c r="E14" s="142"/>
      <c r="F14" s="142"/>
      <c r="G14" s="147"/>
      <c r="H14" s="196" t="s">
        <v>68</v>
      </c>
      <c r="I14" s="197"/>
      <c r="J14" s="197"/>
      <c r="K14" s="150">
        <f>'Backend Calculation'!C15</f>
        <v>2.6570048309178738</v>
      </c>
      <c r="L14" s="165"/>
      <c r="M14" s="166"/>
      <c r="N14" s="166"/>
      <c r="O14" s="166"/>
      <c r="P14" s="167"/>
      <c r="Q14" s="166"/>
      <c r="R14" s="152"/>
      <c r="S14" s="152"/>
      <c r="T14" s="152"/>
      <c r="U14" s="152"/>
      <c r="V14" s="171"/>
    </row>
    <row r="15" spans="1:23" s="67" customFormat="1" ht="22.15" customHeight="1">
      <c r="A15" s="188" t="s">
        <v>78</v>
      </c>
      <c r="B15" s="189"/>
      <c r="C15" s="189"/>
      <c r="D15" s="189"/>
      <c r="E15" s="189"/>
      <c r="F15" s="190"/>
      <c r="G15" s="155"/>
      <c r="H15" s="198" t="s">
        <v>104</v>
      </c>
      <c r="I15" s="199"/>
      <c r="J15" s="199"/>
      <c r="K15" s="150">
        <f>'Backend Calculation'!C16</f>
        <v>132.85024154589368</v>
      </c>
      <c r="L15" s="165"/>
      <c r="M15" s="166"/>
      <c r="N15" s="166"/>
      <c r="O15" s="166"/>
      <c r="P15" s="167"/>
      <c r="Q15" s="166"/>
      <c r="R15" s="168"/>
      <c r="S15" s="168"/>
      <c r="T15" s="168"/>
      <c r="U15" s="168"/>
      <c r="V15" s="172"/>
    </row>
    <row r="16" spans="1:23" ht="19.899999999999999" customHeight="1">
      <c r="A16" s="187" t="s">
        <v>25</v>
      </c>
      <c r="B16" s="191" t="s">
        <v>122</v>
      </c>
      <c r="C16" s="191" t="s">
        <v>73</v>
      </c>
      <c r="D16" s="191" t="s">
        <v>121</v>
      </c>
      <c r="E16" s="191" t="s">
        <v>47</v>
      </c>
      <c r="F16" s="192" t="s">
        <v>29</v>
      </c>
      <c r="G16" s="155"/>
      <c r="H16" s="198" t="s">
        <v>73</v>
      </c>
      <c r="I16" s="199"/>
      <c r="J16" s="199"/>
      <c r="K16" s="77">
        <f>'Backend Calculation'!C17</f>
        <v>2425.9323671497582</v>
      </c>
      <c r="L16" s="165"/>
      <c r="M16" s="166"/>
      <c r="N16" s="166"/>
      <c r="O16" s="166"/>
      <c r="P16" s="167"/>
      <c r="Q16" s="166"/>
      <c r="R16" s="152"/>
      <c r="S16" s="152"/>
      <c r="T16" s="152"/>
      <c r="U16" s="152"/>
      <c r="V16" s="171"/>
    </row>
    <row r="17" spans="1:22" ht="20.25" customHeight="1">
      <c r="A17" s="187"/>
      <c r="B17" s="191"/>
      <c r="C17" s="191"/>
      <c r="D17" s="191"/>
      <c r="E17" s="191"/>
      <c r="F17" s="192"/>
      <c r="G17" s="155"/>
      <c r="H17" s="196" t="s">
        <v>74</v>
      </c>
      <c r="I17" s="197"/>
      <c r="J17" s="197"/>
      <c r="K17" s="77">
        <f>'Backend Calculation'!C18</f>
        <v>121296.61835748791</v>
      </c>
      <c r="L17" s="165"/>
      <c r="M17" s="166"/>
      <c r="N17" s="166"/>
      <c r="O17" s="166"/>
      <c r="P17" s="167"/>
      <c r="Q17" s="166"/>
      <c r="R17" s="168"/>
      <c r="S17" s="152"/>
      <c r="T17" s="152"/>
      <c r="U17" s="152"/>
      <c r="V17" s="171"/>
    </row>
    <row r="18" spans="1:22" ht="20.25" customHeight="1">
      <c r="A18" s="156" t="str">
        <f>'Backend Calculation'!G4</f>
        <v>Dolomitic lime (CaMg(CO3)2)</v>
      </c>
      <c r="B18" s="76">
        <f>'Backend Calculation'!M4</f>
        <v>2.6570048309178738</v>
      </c>
      <c r="C18" s="76">
        <f>'Backend Calculation'!P4</f>
        <v>2425.9323671497582</v>
      </c>
      <c r="D18" s="78">
        <f>'Backend Calculation'!R4</f>
        <v>1354.0676328502418</v>
      </c>
      <c r="E18" s="13">
        <f>'Backend Calculation'!T4</f>
        <v>1.9253431485315542</v>
      </c>
      <c r="F18" s="157">
        <f>'Backend Calculation'!U4</f>
        <v>1</v>
      </c>
      <c r="G18" s="155"/>
      <c r="H18" s="196" t="s">
        <v>121</v>
      </c>
      <c r="I18" s="197"/>
      <c r="J18" s="197"/>
      <c r="K18" s="77">
        <f>'Backend Calculation'!C19</f>
        <v>1354.0676328502418</v>
      </c>
      <c r="L18" s="165"/>
      <c r="M18" s="166"/>
      <c r="N18" s="166"/>
      <c r="O18" s="166"/>
      <c r="P18" s="167"/>
      <c r="Q18" s="166"/>
      <c r="R18" s="152"/>
      <c r="S18" s="152"/>
      <c r="T18" s="152"/>
      <c r="U18" s="152"/>
      <c r="V18" s="171"/>
    </row>
    <row r="19" spans="1:22" ht="20.25" customHeight="1">
      <c r="A19" s="156" t="str">
        <f>'Backend Calculation'!G5</f>
        <v>Slaked/hydrated lime (Ca(OH)2)</v>
      </c>
      <c r="B19" s="76">
        <f>'Backend Calculation'!M5</f>
        <v>3.7262872628726278</v>
      </c>
      <c r="C19" s="76">
        <f>'Backend Calculation'!P5</f>
        <v>3326.4905149051483</v>
      </c>
      <c r="D19" s="78">
        <f>'Backend Calculation'!R5</f>
        <v>453.5094850948517</v>
      </c>
      <c r="E19" s="13">
        <f>'Backend Calculation'!T5</f>
        <v>2.6400718372263081</v>
      </c>
      <c r="F19" s="157">
        <f>'Backend Calculation'!U5</f>
        <v>3</v>
      </c>
      <c r="G19" s="155"/>
      <c r="H19" s="196" t="s">
        <v>14</v>
      </c>
      <c r="I19" s="197"/>
      <c r="J19" s="197"/>
      <c r="K19" s="150">
        <f>'Backend Calculation'!C20</f>
        <v>1.5581638017555879</v>
      </c>
      <c r="L19" s="165"/>
      <c r="M19" s="166"/>
      <c r="N19" s="166"/>
      <c r="O19" s="166"/>
      <c r="P19" s="167"/>
      <c r="Q19" s="166"/>
      <c r="R19" s="152"/>
      <c r="S19" s="152"/>
      <c r="T19" s="152"/>
      <c r="U19" s="152"/>
      <c r="V19" s="171"/>
    </row>
    <row r="20" spans="1:22" ht="20.25" customHeight="1">
      <c r="A20" s="156" t="str">
        <f>'Backend Calculation'!G6</f>
        <v>Wood ash</v>
      </c>
      <c r="B20" s="76">
        <f>'Backend Calculation'!M6</f>
        <v>2.7499999999999991</v>
      </c>
      <c r="C20" s="76">
        <f>'Backend Calculation'!P6</f>
        <v>2547.7499999999991</v>
      </c>
      <c r="D20" s="78">
        <f>'Backend Calculation'!R6</f>
        <v>1232.2500000000009</v>
      </c>
      <c r="E20" s="13">
        <f>'Backend Calculation'!T6</f>
        <v>2.0220238095238088</v>
      </c>
      <c r="F20" s="157">
        <f>'Backend Calculation'!U6</f>
        <v>2</v>
      </c>
      <c r="G20" s="155"/>
      <c r="H20" s="196" t="s">
        <v>16</v>
      </c>
      <c r="I20" s="197"/>
      <c r="J20" s="197"/>
      <c r="K20" s="150">
        <f>'Backend Calculation'!C21</f>
        <v>1.9253431485315542</v>
      </c>
      <c r="L20" s="165"/>
      <c r="M20" s="166"/>
      <c r="N20" s="166"/>
      <c r="O20" s="166"/>
      <c r="P20" s="167"/>
      <c r="Q20" s="166"/>
      <c r="R20" s="152"/>
      <c r="S20" s="152"/>
      <c r="T20" s="152"/>
      <c r="U20" s="152"/>
      <c r="V20" s="171"/>
    </row>
    <row r="21" spans="1:22" ht="20.25" customHeight="1" thickBot="1">
      <c r="A21" s="158" t="str">
        <f>'Backend Calculation'!G7</f>
        <v>Custom product 1</v>
      </c>
      <c r="B21" s="79">
        <f>'Backend Calculation'!M7</f>
        <v>4.6257359125315389</v>
      </c>
      <c r="C21" s="79">
        <f>'Backend Calculation'!P7</f>
        <v>3540.5592935239697</v>
      </c>
      <c r="D21" s="80">
        <f>'Backend Calculation'!R7</f>
        <v>239.4407064760303</v>
      </c>
      <c r="E21" s="159">
        <f>'Backend Calculation'!T7</f>
        <v>2.8099676932729918</v>
      </c>
      <c r="F21" s="160">
        <f>'Backend Calculation'!U7</f>
        <v>4</v>
      </c>
      <c r="G21" s="155"/>
      <c r="H21" s="214" t="s">
        <v>17</v>
      </c>
      <c r="I21" s="215"/>
      <c r="J21" s="215"/>
      <c r="K21" s="151" t="str">
        <f>'Backend Calculation'!C22</f>
        <v>Profitable</v>
      </c>
      <c r="L21" s="165"/>
      <c r="M21" s="166"/>
      <c r="N21" s="166"/>
      <c r="O21" s="166"/>
      <c r="P21" s="167"/>
      <c r="Q21" s="166"/>
      <c r="R21" s="168"/>
      <c r="S21" s="152"/>
      <c r="T21" s="152"/>
      <c r="U21" s="152"/>
      <c r="V21" s="171"/>
    </row>
    <row r="22" spans="1:22" ht="20.25" customHeight="1">
      <c r="A22" s="135"/>
      <c r="B22" s="135"/>
      <c r="C22" s="135"/>
      <c r="D22" s="135"/>
      <c r="E22" s="135"/>
      <c r="F22" s="135"/>
      <c r="G22" s="147"/>
      <c r="H22" s="152"/>
      <c r="I22" s="152"/>
      <c r="J22" s="152"/>
      <c r="K22" s="153"/>
      <c r="L22" s="165"/>
      <c r="M22" s="166"/>
      <c r="N22" s="166"/>
      <c r="O22" s="166"/>
      <c r="P22" s="167"/>
      <c r="Q22" s="166"/>
      <c r="R22" s="152"/>
      <c r="S22" s="152"/>
      <c r="T22" s="152"/>
      <c r="U22" s="152"/>
      <c r="V22" s="171"/>
    </row>
    <row r="23" spans="1:22" ht="20.25" customHeight="1" thickBot="1">
      <c r="A23" s="142"/>
      <c r="B23" s="142"/>
      <c r="C23" s="142"/>
      <c r="D23" s="142"/>
      <c r="E23" s="142"/>
      <c r="F23" s="142"/>
      <c r="G23" s="142"/>
      <c r="H23" s="139"/>
      <c r="I23" s="139"/>
      <c r="J23" s="135"/>
      <c r="K23" s="154"/>
      <c r="L23" s="166"/>
      <c r="M23" s="152"/>
      <c r="N23" s="166"/>
      <c r="O23" s="166"/>
      <c r="P23" s="166"/>
      <c r="Q23" s="166"/>
      <c r="R23" s="152"/>
      <c r="S23" s="152"/>
      <c r="T23" s="152"/>
      <c r="U23" s="152"/>
      <c r="V23" s="171"/>
    </row>
    <row r="24" spans="1:22" ht="20.25" customHeight="1">
      <c r="A24" s="193" t="s">
        <v>79</v>
      </c>
      <c r="B24" s="194"/>
      <c r="C24" s="194"/>
      <c r="D24" s="194"/>
      <c r="E24" s="194"/>
      <c r="F24" s="194"/>
      <c r="G24" s="194"/>
      <c r="H24" s="194"/>
      <c r="I24" s="152"/>
      <c r="J24" s="162"/>
      <c r="K24" s="153"/>
      <c r="L24" s="166"/>
      <c r="M24" s="166"/>
      <c r="N24" s="166"/>
      <c r="O24" s="166"/>
      <c r="P24" s="166"/>
      <c r="Q24" s="166"/>
      <c r="R24" s="152"/>
      <c r="S24" s="152"/>
      <c r="T24" s="152"/>
      <c r="U24" s="152"/>
      <c r="V24" s="171"/>
    </row>
    <row r="25" spans="1:22" s="68" customFormat="1" ht="20.25" customHeight="1">
      <c r="A25" s="187" t="s">
        <v>133</v>
      </c>
      <c r="B25" s="191" t="s">
        <v>124</v>
      </c>
      <c r="C25" s="191" t="s">
        <v>103</v>
      </c>
      <c r="D25" s="191" t="s">
        <v>125</v>
      </c>
      <c r="E25" s="191"/>
      <c r="F25" s="191" t="s">
        <v>121</v>
      </c>
      <c r="G25" s="224" t="s">
        <v>20</v>
      </c>
      <c r="H25" s="225"/>
      <c r="I25" s="153"/>
      <c r="J25" s="163"/>
      <c r="K25" s="153"/>
      <c r="L25" s="153"/>
      <c r="M25" s="169"/>
      <c r="N25" s="169"/>
      <c r="O25" s="169"/>
      <c r="P25" s="169"/>
      <c r="Q25" s="169"/>
      <c r="R25" s="153"/>
      <c r="S25" s="153"/>
      <c r="T25" s="153"/>
      <c r="U25" s="153"/>
      <c r="V25" s="173"/>
    </row>
    <row r="26" spans="1:22" s="68" customFormat="1" ht="22.15" customHeight="1">
      <c r="A26" s="187"/>
      <c r="B26" s="191"/>
      <c r="C26" s="191"/>
      <c r="D26" s="191"/>
      <c r="E26" s="191"/>
      <c r="F26" s="191"/>
      <c r="G26" s="226"/>
      <c r="H26" s="227"/>
      <c r="I26" s="153"/>
      <c r="J26" s="163"/>
      <c r="K26" s="153"/>
      <c r="L26" s="153"/>
      <c r="M26" s="169"/>
      <c r="N26" s="169"/>
      <c r="O26" s="169"/>
      <c r="P26" s="169"/>
      <c r="Q26" s="169"/>
      <c r="R26" s="153"/>
      <c r="S26" s="153"/>
      <c r="T26" s="153"/>
      <c r="U26" s="153"/>
      <c r="V26" s="173"/>
    </row>
    <row r="27" spans="1:22" s="68" customFormat="1" ht="18">
      <c r="A27" s="161" t="s">
        <v>22</v>
      </c>
      <c r="B27" s="66">
        <v>1.5</v>
      </c>
      <c r="C27" s="76">
        <f>'Backend Calculation'!I12</f>
        <v>1890</v>
      </c>
      <c r="D27" s="202" t="str">
        <f>'Backend Calculation'!J12</f>
        <v>Dolomitic lime (CaMg(CO3)2)</v>
      </c>
      <c r="E27" s="202"/>
      <c r="F27" s="76">
        <f>'Backend Calculation'!K12</f>
        <v>-535.93236714975819</v>
      </c>
      <c r="G27" s="220" t="str">
        <f>'Backend Calculation'!N12</f>
        <v>Not profitable</v>
      </c>
      <c r="H27" s="221"/>
      <c r="I27" s="153"/>
      <c r="J27" s="163"/>
      <c r="K27" s="153"/>
      <c r="L27" s="153"/>
      <c r="M27" s="169"/>
      <c r="N27" s="169"/>
      <c r="O27" s="169"/>
      <c r="P27" s="169"/>
      <c r="Q27" s="169"/>
      <c r="R27" s="153"/>
      <c r="S27" s="153"/>
      <c r="T27" s="153"/>
      <c r="U27" s="153"/>
      <c r="V27" s="173"/>
    </row>
    <row r="28" spans="1:22" s="68" customFormat="1" ht="20.25" customHeight="1">
      <c r="A28" s="161" t="s">
        <v>23</v>
      </c>
      <c r="B28" s="66">
        <v>2.5</v>
      </c>
      <c r="C28" s="76">
        <f>'Backend Calculation'!I13</f>
        <v>3150</v>
      </c>
      <c r="D28" s="202" t="str">
        <f>'Backend Calculation'!J13</f>
        <v>Dolomitic lime (CaMg(CO3)2)</v>
      </c>
      <c r="E28" s="202"/>
      <c r="F28" s="76">
        <f>'Backend Calculation'!K13</f>
        <v>724.06763285024181</v>
      </c>
      <c r="G28" s="220" t="str">
        <f>'Backend Calculation'!N13</f>
        <v>Profitable</v>
      </c>
      <c r="H28" s="221"/>
      <c r="I28" s="153"/>
      <c r="J28" s="163"/>
      <c r="K28" s="153"/>
      <c r="L28" s="153"/>
      <c r="M28" s="169"/>
      <c r="N28" s="169"/>
      <c r="O28" s="169"/>
      <c r="P28" s="169"/>
      <c r="Q28" s="169"/>
      <c r="R28" s="153"/>
      <c r="S28" s="153"/>
      <c r="T28" s="153"/>
      <c r="U28" s="153"/>
      <c r="V28" s="173"/>
    </row>
    <row r="29" spans="1:22" s="68" customFormat="1" ht="19.899999999999999" customHeight="1">
      <c r="A29" s="161" t="s">
        <v>24</v>
      </c>
      <c r="B29" s="66">
        <v>4</v>
      </c>
      <c r="C29" s="76">
        <f>'Backend Calculation'!I14</f>
        <v>5040</v>
      </c>
      <c r="D29" s="202" t="str">
        <f>'Backend Calculation'!J14</f>
        <v>Dolomitic lime (CaMg(CO3)2)</v>
      </c>
      <c r="E29" s="202"/>
      <c r="F29" s="76">
        <f>'Backend Calculation'!K14</f>
        <v>2614.0676328502418</v>
      </c>
      <c r="G29" s="220" t="str">
        <f>'Backend Calculation'!N14</f>
        <v>Profitable</v>
      </c>
      <c r="H29" s="221"/>
      <c r="I29" s="153"/>
      <c r="J29" s="164"/>
      <c r="K29" s="153"/>
      <c r="L29" s="153"/>
      <c r="M29" s="169"/>
      <c r="N29" s="169"/>
      <c r="O29" s="169"/>
      <c r="P29" s="169"/>
      <c r="Q29" s="169"/>
      <c r="R29" s="153"/>
      <c r="S29" s="153"/>
      <c r="T29" s="153"/>
      <c r="U29" s="153"/>
      <c r="V29" s="173"/>
    </row>
    <row r="30" spans="1:22" ht="19.899999999999999" customHeight="1">
      <c r="A30" s="135"/>
      <c r="B30" s="135"/>
      <c r="C30" s="135"/>
      <c r="D30" s="135"/>
      <c r="E30" s="135"/>
      <c r="F30" s="135"/>
      <c r="G30" s="135"/>
      <c r="H30" s="135"/>
      <c r="I30" s="152"/>
      <c r="J30" s="152"/>
      <c r="K30" s="153"/>
      <c r="L30" s="152"/>
      <c r="M30" s="152"/>
      <c r="N30" s="152"/>
      <c r="O30" s="152"/>
      <c r="P30" s="152"/>
      <c r="Q30" s="152"/>
      <c r="R30" s="152"/>
      <c r="S30" s="152"/>
      <c r="T30" s="152"/>
      <c r="U30" s="152"/>
      <c r="V30" s="171"/>
    </row>
    <row r="31" spans="1:22" ht="21" customHeight="1">
      <c r="A31" s="152"/>
      <c r="B31" s="152"/>
      <c r="C31" s="152"/>
      <c r="D31" s="152"/>
      <c r="E31" s="152"/>
      <c r="F31" s="152"/>
      <c r="G31" s="152"/>
      <c r="H31" s="152"/>
      <c r="I31" s="152"/>
      <c r="J31" s="152"/>
      <c r="K31" s="153"/>
      <c r="L31" s="152"/>
      <c r="M31" s="152"/>
      <c r="N31" s="152"/>
      <c r="O31" s="152"/>
      <c r="P31" s="152"/>
      <c r="Q31" s="152"/>
      <c r="R31" s="152"/>
      <c r="S31" s="152"/>
      <c r="T31" s="152"/>
      <c r="U31" s="152"/>
      <c r="V31" s="171"/>
    </row>
    <row r="32" spans="1:22" ht="21" customHeight="1">
      <c r="A32" s="152"/>
      <c r="B32" s="152"/>
      <c r="C32" s="152"/>
      <c r="D32" s="152"/>
      <c r="E32" s="152"/>
      <c r="F32" s="152"/>
      <c r="G32" s="152"/>
      <c r="H32" s="152"/>
      <c r="I32" s="152"/>
      <c r="J32" s="152"/>
      <c r="K32" s="153"/>
      <c r="L32" s="152"/>
      <c r="M32" s="152"/>
      <c r="N32" s="152"/>
      <c r="O32" s="152"/>
      <c r="P32" s="152"/>
      <c r="Q32" s="152"/>
      <c r="R32" s="152"/>
      <c r="S32" s="152"/>
      <c r="T32" s="152"/>
      <c r="U32" s="152"/>
      <c r="V32" s="171"/>
    </row>
    <row r="33" spans="1:22" ht="21" customHeight="1">
      <c r="A33" s="152"/>
      <c r="B33" s="153"/>
      <c r="C33" s="152"/>
      <c r="D33" s="152"/>
      <c r="E33" s="152"/>
      <c r="F33" s="152"/>
      <c r="G33" s="152"/>
      <c r="H33" s="152"/>
      <c r="I33" s="152"/>
      <c r="J33" s="152"/>
      <c r="K33" s="153"/>
      <c r="L33" s="152"/>
      <c r="M33" s="152"/>
      <c r="N33" s="152"/>
      <c r="O33" s="152"/>
      <c r="P33" s="152"/>
      <c r="Q33" s="152"/>
      <c r="R33" s="152"/>
      <c r="S33" s="152"/>
      <c r="T33" s="152"/>
      <c r="U33" s="152"/>
      <c r="V33" s="171"/>
    </row>
    <row r="34" spans="1:22" ht="21" customHeight="1">
      <c r="A34" s="152"/>
      <c r="B34" s="152"/>
      <c r="C34" s="152"/>
      <c r="D34" s="152"/>
      <c r="E34" s="152"/>
      <c r="F34" s="152"/>
      <c r="G34" s="152"/>
      <c r="H34" s="152"/>
      <c r="I34" s="152"/>
      <c r="J34" s="152"/>
      <c r="K34" s="153"/>
      <c r="L34" s="152"/>
      <c r="M34" s="152"/>
      <c r="N34" s="152"/>
      <c r="O34" s="152"/>
      <c r="P34" s="152"/>
      <c r="Q34" s="152"/>
      <c r="R34" s="152"/>
      <c r="S34" s="152"/>
      <c r="T34" s="152"/>
      <c r="U34" s="152"/>
      <c r="V34" s="171"/>
    </row>
    <row r="35" spans="1:22" ht="21" customHeight="1">
      <c r="A35" s="152"/>
      <c r="B35" s="153"/>
      <c r="C35" s="152"/>
      <c r="D35" s="152"/>
      <c r="E35" s="152"/>
      <c r="F35" s="152"/>
      <c r="G35" s="152"/>
      <c r="H35" s="152"/>
      <c r="I35" s="152"/>
      <c r="J35" s="152"/>
      <c r="K35" s="153"/>
      <c r="L35" s="152"/>
      <c r="M35" s="152"/>
      <c r="N35" s="152"/>
      <c r="O35" s="152"/>
      <c r="P35" s="152"/>
      <c r="Q35" s="152"/>
      <c r="R35" s="152"/>
      <c r="S35" s="152"/>
      <c r="T35" s="152"/>
      <c r="U35" s="152"/>
      <c r="V35" s="171"/>
    </row>
    <row r="36" spans="1:22" ht="21" customHeight="1">
      <c r="A36" s="152"/>
      <c r="B36" s="152"/>
      <c r="C36" s="152"/>
      <c r="D36" s="152"/>
      <c r="E36" s="152"/>
      <c r="F36" s="152"/>
      <c r="G36" s="152"/>
      <c r="H36" s="152"/>
      <c r="I36" s="152"/>
      <c r="J36" s="152"/>
      <c r="K36" s="153"/>
      <c r="L36" s="152"/>
      <c r="M36" s="152"/>
      <c r="N36" s="152"/>
      <c r="O36" s="152"/>
      <c r="P36" s="152"/>
      <c r="Q36" s="152"/>
      <c r="R36" s="152"/>
      <c r="S36" s="152"/>
      <c r="T36" s="152"/>
      <c r="U36" s="152"/>
      <c r="V36" s="171"/>
    </row>
    <row r="37" spans="1:22" ht="21" customHeight="1">
      <c r="A37" s="152"/>
      <c r="B37" s="153"/>
      <c r="C37" s="152"/>
      <c r="D37" s="152"/>
      <c r="E37" s="152"/>
      <c r="F37" s="152"/>
      <c r="G37" s="152"/>
      <c r="H37" s="152"/>
      <c r="I37" s="152"/>
      <c r="J37" s="152"/>
      <c r="K37" s="153"/>
      <c r="L37" s="152"/>
      <c r="M37" s="152"/>
      <c r="N37" s="152"/>
      <c r="O37" s="152"/>
      <c r="P37" s="152"/>
      <c r="Q37" s="152"/>
      <c r="R37" s="152"/>
      <c r="S37" s="152"/>
      <c r="T37" s="152"/>
      <c r="U37" s="152"/>
      <c r="V37" s="171"/>
    </row>
    <row r="38" spans="1:22" ht="21" customHeight="1">
      <c r="A38" s="152"/>
      <c r="B38" s="152"/>
      <c r="C38" s="152"/>
      <c r="D38" s="152"/>
      <c r="E38" s="152"/>
      <c r="F38" s="152"/>
      <c r="G38" s="152"/>
      <c r="H38" s="152"/>
      <c r="I38" s="152"/>
      <c r="J38" s="152"/>
      <c r="K38" s="153"/>
      <c r="L38" s="152"/>
      <c r="M38" s="152"/>
      <c r="N38" s="152"/>
      <c r="O38" s="152"/>
      <c r="P38" s="152"/>
      <c r="Q38" s="152"/>
      <c r="R38" s="152"/>
      <c r="S38" s="152"/>
      <c r="T38" s="152"/>
      <c r="U38" s="152"/>
      <c r="V38" s="171"/>
    </row>
    <row r="39" spans="1:22" ht="21" customHeight="1">
      <c r="A39" s="171"/>
      <c r="B39" s="173"/>
      <c r="C39" s="171"/>
      <c r="D39" s="171"/>
      <c r="E39" s="171"/>
      <c r="F39" s="171"/>
      <c r="G39" s="171"/>
      <c r="H39" s="171"/>
      <c r="I39" s="171"/>
      <c r="J39" s="171"/>
      <c r="K39" s="173"/>
      <c r="L39" s="171"/>
      <c r="M39" s="171"/>
      <c r="N39" s="171"/>
      <c r="O39" s="171"/>
      <c r="P39" s="171"/>
      <c r="Q39" s="171"/>
      <c r="R39" s="171"/>
      <c r="S39" s="171"/>
      <c r="T39" s="171"/>
      <c r="U39" s="171"/>
      <c r="V39" s="171"/>
    </row>
    <row r="40" spans="1:22" ht="21" customHeight="1">
      <c r="A40" s="171"/>
      <c r="B40" s="171"/>
      <c r="C40" s="171"/>
      <c r="D40" s="171"/>
      <c r="E40" s="171"/>
      <c r="F40" s="171"/>
      <c r="G40" s="171"/>
      <c r="H40" s="171"/>
      <c r="I40" s="171"/>
      <c r="J40" s="171"/>
      <c r="K40" s="173"/>
      <c r="L40" s="171"/>
      <c r="M40" s="171"/>
      <c r="N40" s="171"/>
      <c r="O40" s="171"/>
      <c r="P40" s="171"/>
      <c r="Q40" s="171"/>
      <c r="R40" s="171"/>
      <c r="S40" s="171"/>
      <c r="T40" s="171"/>
      <c r="U40" s="171"/>
      <c r="V40" s="171"/>
    </row>
    <row r="41" spans="1:22" ht="21" customHeight="1">
      <c r="A41" s="171"/>
      <c r="B41" s="173"/>
      <c r="C41" s="171"/>
      <c r="D41" s="171"/>
      <c r="E41" s="171"/>
      <c r="F41" s="171"/>
      <c r="G41" s="171"/>
      <c r="H41" s="171"/>
      <c r="I41" s="171"/>
      <c r="J41" s="171"/>
      <c r="K41" s="173"/>
      <c r="L41" s="171"/>
      <c r="M41" s="171"/>
      <c r="N41" s="171"/>
      <c r="O41" s="171"/>
      <c r="P41" s="171"/>
      <c r="Q41" s="171"/>
      <c r="R41" s="171"/>
      <c r="S41" s="171"/>
      <c r="T41" s="171"/>
      <c r="U41" s="171"/>
      <c r="V41" s="171"/>
    </row>
    <row r="42" spans="1:22" ht="21" customHeight="1">
      <c r="A42" s="171"/>
      <c r="B42" s="171"/>
      <c r="C42" s="171"/>
      <c r="D42" s="171"/>
      <c r="E42" s="171"/>
      <c r="F42" s="171"/>
      <c r="G42" s="171"/>
      <c r="H42" s="171"/>
      <c r="I42" s="171"/>
      <c r="J42" s="171"/>
      <c r="K42" s="173"/>
      <c r="L42" s="171"/>
      <c r="M42" s="171"/>
      <c r="N42" s="171"/>
      <c r="O42" s="171"/>
      <c r="P42" s="171"/>
      <c r="Q42" s="171"/>
      <c r="R42" s="171"/>
      <c r="S42" s="171"/>
      <c r="T42" s="171"/>
      <c r="U42" s="171"/>
      <c r="V42" s="171"/>
    </row>
    <row r="43" spans="1:22" ht="21" customHeight="1">
      <c r="A43" s="171"/>
      <c r="B43" s="173"/>
      <c r="C43" s="171"/>
      <c r="D43" s="171"/>
      <c r="E43" s="171"/>
      <c r="F43" s="171"/>
      <c r="G43" s="171"/>
      <c r="H43" s="171"/>
      <c r="I43" s="171"/>
      <c r="J43" s="171"/>
      <c r="K43" s="173"/>
      <c r="L43" s="171"/>
      <c r="M43" s="171"/>
      <c r="N43" s="171"/>
      <c r="O43" s="171"/>
      <c r="P43" s="171"/>
      <c r="Q43" s="171"/>
      <c r="R43" s="171"/>
      <c r="S43" s="171"/>
      <c r="T43" s="171"/>
      <c r="U43" s="171"/>
      <c r="V43" s="171"/>
    </row>
    <row r="44" spans="1:22" ht="21" customHeight="1">
      <c r="A44" s="171"/>
      <c r="B44" s="171"/>
      <c r="C44" s="171"/>
      <c r="D44" s="171"/>
      <c r="E44" s="171"/>
      <c r="F44" s="171"/>
      <c r="G44" s="171"/>
      <c r="H44" s="171"/>
      <c r="I44" s="171"/>
      <c r="J44" s="171"/>
      <c r="K44" s="173"/>
      <c r="L44" s="171"/>
      <c r="M44" s="171"/>
      <c r="N44" s="171"/>
      <c r="O44" s="171"/>
      <c r="P44" s="171"/>
      <c r="Q44" s="171"/>
      <c r="R44" s="171"/>
      <c r="S44" s="171"/>
      <c r="T44" s="171"/>
      <c r="U44" s="171"/>
      <c r="V44" s="171"/>
    </row>
    <row r="45" spans="1:22" ht="21" customHeight="1">
      <c r="A45" s="171"/>
      <c r="B45" s="173"/>
      <c r="C45" s="171"/>
      <c r="D45" s="171"/>
      <c r="E45" s="171"/>
      <c r="F45" s="171"/>
      <c r="G45" s="171"/>
      <c r="H45" s="171"/>
      <c r="I45" s="171"/>
      <c r="J45" s="171"/>
      <c r="K45" s="173"/>
      <c r="L45" s="171"/>
      <c r="M45" s="171"/>
      <c r="N45" s="171"/>
      <c r="O45" s="171"/>
      <c r="P45" s="171"/>
      <c r="Q45" s="171"/>
      <c r="R45" s="171"/>
      <c r="S45" s="171"/>
      <c r="T45" s="171"/>
      <c r="U45" s="171"/>
      <c r="V45" s="171"/>
    </row>
  </sheetData>
  <sheetProtection algorithmName="SHA-512" hashValue="hOAtLGCmpMt0A/m0M2SikaH68qYiwPgGrF7+t24vIm+sNv+2g1kq0Y93S6bPfLIkepQmNxn+V4ukDQC/sVfkQA==" saltValue="ydxhjHIL3p3VmzFYAQ0lEA==" spinCount="100000" sheet="1" objects="1" scenarios="1"/>
  <mergeCells count="57">
    <mergeCell ref="G28:H28"/>
    <mergeCell ref="G29:H29"/>
    <mergeCell ref="A24:H24"/>
    <mergeCell ref="B1:K1"/>
    <mergeCell ref="G25:H26"/>
    <mergeCell ref="G27:H27"/>
    <mergeCell ref="F25:F26"/>
    <mergeCell ref="K3:K4"/>
    <mergeCell ref="B16:B17"/>
    <mergeCell ref="C16:C17"/>
    <mergeCell ref="B3:C3"/>
    <mergeCell ref="B4:C4"/>
    <mergeCell ref="B5:C5"/>
    <mergeCell ref="B6:C6"/>
    <mergeCell ref="B7:C7"/>
    <mergeCell ref="B8:C8"/>
    <mergeCell ref="G3:G4"/>
    <mergeCell ref="H3:H4"/>
    <mergeCell ref="H19:J19"/>
    <mergeCell ref="H20:J20"/>
    <mergeCell ref="E5:F5"/>
    <mergeCell ref="E6:F6"/>
    <mergeCell ref="E7:F7"/>
    <mergeCell ref="E8:F8"/>
    <mergeCell ref="H12:J12"/>
    <mergeCell ref="D27:E27"/>
    <mergeCell ref="D28:E28"/>
    <mergeCell ref="D29:E29"/>
    <mergeCell ref="A2:B2"/>
    <mergeCell ref="B10:C10"/>
    <mergeCell ref="B11:C11"/>
    <mergeCell ref="B12:C12"/>
    <mergeCell ref="B13:C13"/>
    <mergeCell ref="A25:A26"/>
    <mergeCell ref="B25:B26"/>
    <mergeCell ref="C25:C26"/>
    <mergeCell ref="E2:J2"/>
    <mergeCell ref="H21:J21"/>
    <mergeCell ref="H13:J13"/>
    <mergeCell ref="H14:J14"/>
    <mergeCell ref="H15:J15"/>
    <mergeCell ref="M1:V1"/>
    <mergeCell ref="A16:A17"/>
    <mergeCell ref="A15:F15"/>
    <mergeCell ref="D25:E26"/>
    <mergeCell ref="D16:D17"/>
    <mergeCell ref="E16:E17"/>
    <mergeCell ref="F16:F17"/>
    <mergeCell ref="H10:K10"/>
    <mergeCell ref="E3:F4"/>
    <mergeCell ref="H18:J18"/>
    <mergeCell ref="I3:I4"/>
    <mergeCell ref="J3:J4"/>
    <mergeCell ref="H11:J11"/>
    <mergeCell ref="H17:J17"/>
    <mergeCell ref="H16:J16"/>
    <mergeCell ref="B9:C9"/>
  </mergeCells>
  <conditionalFormatting sqref="D18:D21">
    <cfRule type="dataBar" priority="2">
      <dataBar>
        <cfvo type="min"/>
        <cfvo type="max"/>
        <color theme="9" tint="0.39997558519241921"/>
      </dataBar>
      <extLst>
        <ext xmlns:x14="http://schemas.microsoft.com/office/spreadsheetml/2009/9/main" uri="{B025F937-C7B1-47D3-B67F-A62EFF666E3E}">
          <x14:id>{6625F597-A24B-4704-8CDC-036EAE5CBFCD}</x14:id>
        </ext>
      </extLst>
    </cfRule>
  </conditionalFormatting>
  <dataValidations xWindow="927" yWindow="587" count="13">
    <dataValidation allowBlank="1" showInputMessage="1" showErrorMessage="1" prompt="Consult the label on the liming container and note the Calcium Carbonate Equivalence (CCE)" sqref="G3:G8" xr:uid="{6D43D8C1-11C1-49C8-89B6-F1CF1BBA95A1}"/>
    <dataValidation allowBlank="1" showInputMessage="1" showErrorMessage="1" prompt="The finness of lime source. See label on source container" sqref="H5:H8" xr:uid="{5A14CA42-3166-4E12-98A9-3335AE50B61F}"/>
    <dataValidation type="decimal" allowBlank="1" showInputMessage="1" showErrorMessage="1" error="Number must be between 4 and 7" prompt="Use your soil test report" sqref="B4" xr:uid="{88C001F9-B5ED-4C80-978D-1F3B73F48F8B}">
      <formula1>4</formula1>
      <formula2>7</formula2>
    </dataValidation>
    <dataValidation type="decimal" allowBlank="1" showInputMessage="1" showErrorMessage="1" error="Number must be between 4 and 7" prompt="Use crop-specific target. Check &quot;Appendix&quot; sheet for default values" sqref="B5" xr:uid="{2905DF56-2244-4263-9BC3-47E54EB51ADB}">
      <formula1>4</formula1>
      <formula2>7</formula2>
    </dataValidation>
    <dataValidation allowBlank="1" showInputMessage="1" showErrorMessage="1" prompt="Leave blank to use soil texture estimate if not indicated on soil test report" sqref="B6" xr:uid="{7CF1C8E9-DB86-42E3-89B0-77B521C80CC8}"/>
    <dataValidation type="whole" allowBlank="1" showInputMessage="1" showErrorMessage="1" error="Number must be between 2 to 10" sqref="B8" xr:uid="{655460D4-B092-45EF-9C91-7649C840995D}">
      <formula1>3</formula1>
      <formula2>10</formula2>
    </dataValidation>
    <dataValidation allowBlank="1" showInputMessage="1" showErrorMessage="1" prompt="Input your expected annual yield response" sqref="B11" xr:uid="{6E0D45EF-A1E2-4B47-A8A3-01CE947B4BAC}"/>
    <dataValidation allowBlank="1" showInputMessage="1" showErrorMessage="1" prompt="Input your farm-gate price" sqref="B12" xr:uid="{530C73C0-2C1F-4C44-8253-3106F65EC6E3}"/>
    <dataValidation allowBlank="1" showInputMessage="1" showErrorMessage="1" prompt="If benefit-cost ratio is &gt; 1, then added revenue exceeds lime cost" sqref="K19" xr:uid="{43222343-15CD-42F2-96AC-F4201FF39D3F}"/>
    <dataValidation type="list" allowBlank="1" showInputMessage="1" showErrorMessage="1" prompt="Select your crop" sqref="B10:C10" xr:uid="{40436BD3-BD94-4FCE-BDC0-6D8C9765AF3E}">
      <formula1>"Corn silage,Forage grass,Alfalfa,Alfalfa/grass,Barley,Canola,Wheat,Others"</formula1>
    </dataValidation>
    <dataValidation allowBlank="1" showInputMessage="1" showErrorMessage="1" prompt="This is the cumulative net return over the years of liming benefit" sqref="D16:D17 H18:J18 F25:F26" xr:uid="{942E4AF2-BF88-4D8D-8D4F-C6FBE223A1E8}"/>
    <dataValidation allowBlank="1" showInputMessage="1" showErrorMessage="1" prompt="This is estimated based on the soil texture you selected. See details in the &quot;Appendix&quot; sheet._x000a__x000a_You may override this value_x000a_" sqref="B13:C13" xr:uid="{80FBC7E4-B2FB-4B94-8378-271E5DC08BA0}"/>
    <dataValidation allowBlank="1" showInputMessage="1" showErrorMessage="1" prompt="The finness of lime source. See label on source container. If it is unknown, Use the instruction in &quot;Appendix&quot; to determine the finness factor" sqref="H3:H4" xr:uid="{628E9646-FC8E-4A13-9264-4DA725F61DA7}"/>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6625F597-A24B-4704-8CDC-036EAE5CBFCD}">
            <x14:dataBar minLength="0" maxLength="100">
              <x14:cfvo type="min"/>
              <x14:cfvo type="max"/>
              <x14:negativeFillColor rgb="FFFF0000"/>
              <x14:axisColor rgb="FF000000"/>
            </x14:dataBar>
          </x14:cfRule>
          <xm:sqref>D18:D21</xm:sqref>
        </x14:conditionalFormatting>
      </x14:conditionalFormattings>
    </ext>
    <ext xmlns:x14="http://schemas.microsoft.com/office/spreadsheetml/2009/9/main" uri="{CCE6A557-97BC-4b89-ADB6-D9C93CAAB3DF}">
      <x14:dataValidations xmlns:xm="http://schemas.microsoft.com/office/excel/2006/main" xWindow="927" yWindow="587" count="2">
        <x14:dataValidation type="list" showInputMessage="1" prompt="If not known, use the SIFT tool link in the &quot;Appendix&quot; sheet to determine your soil texture" xr:uid="{00000000-0002-0000-0000-000000000000}">
          <x14:formula1>
            <xm:f>'Backend Calculation'!$B$5:$B$7</xm:f>
          </x14:formula1>
          <xm:sqref>B7</xm:sqref>
        </x14:dataValidation>
        <x14:dataValidation type="list" allowBlank="1" showInputMessage="1" showErrorMessage="1" prompt="Select your product from the dropdown list" xr:uid="{7A1ACA39-BD6D-43FA-B5D2-45C03CA6E5EA}">
          <x14:formula1>
            <xm:f>'Backend Calculation'!$F$4:$F$11</xm:f>
          </x14:formula1>
          <xm:sqref>E5:E8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1C6E0-F2A9-42C4-8A1E-5202A6B14063}">
  <sheetPr codeName="Sheet3">
    <tabColor theme="3" tint="0.499984740745262"/>
  </sheetPr>
  <dimension ref="A1:O51"/>
  <sheetViews>
    <sheetView workbookViewId="0">
      <pane ySplit="1" topLeftCell="A21" activePane="bottomLeft" state="frozen"/>
      <selection pane="bottomLeft" activeCell="A32" sqref="A32:H32"/>
    </sheetView>
  </sheetViews>
  <sheetFormatPr defaultColWidth="9" defaultRowHeight="18"/>
  <cols>
    <col min="1" max="1" width="38.5" style="60" customWidth="1"/>
    <col min="2" max="2" width="14.75" style="60" customWidth="1"/>
    <col min="3" max="3" width="16.125" style="60" customWidth="1"/>
    <col min="4" max="4" width="17.375" style="60" customWidth="1"/>
    <col min="5" max="5" width="9.5" style="60" customWidth="1"/>
    <col min="6" max="6" width="18.125" style="60" customWidth="1"/>
    <col min="7" max="7" width="19.375" style="60" customWidth="1"/>
    <col min="8" max="8" width="14.375" style="60" customWidth="1"/>
    <col min="9" max="15" width="9" style="100"/>
    <col min="16" max="16384" width="9" style="60"/>
  </cols>
  <sheetData>
    <row r="1" spans="1:8" ht="19.899999999999999" customHeight="1" thickBot="1">
      <c r="A1" s="232" t="s">
        <v>54</v>
      </c>
      <c r="B1" s="233"/>
      <c r="C1" s="233"/>
      <c r="D1" s="233"/>
      <c r="E1" s="233"/>
      <c r="F1" s="233"/>
      <c r="G1" s="233"/>
      <c r="H1" s="233"/>
    </row>
    <row r="2" spans="1:8" ht="22.15" customHeight="1" thickBot="1">
      <c r="A2" s="239" t="s">
        <v>82</v>
      </c>
      <c r="B2" s="240"/>
      <c r="C2" s="240"/>
      <c r="D2" s="241"/>
      <c r="E2" s="91"/>
      <c r="F2" s="242" t="s">
        <v>90</v>
      </c>
      <c r="G2" s="243"/>
      <c r="H2" s="92"/>
    </row>
    <row r="3" spans="1:8" ht="38.450000000000003" customHeight="1">
      <c r="A3" s="93" t="s">
        <v>127</v>
      </c>
      <c r="B3" s="94" t="s">
        <v>56</v>
      </c>
      <c r="C3" s="95"/>
      <c r="D3" s="96"/>
      <c r="E3" s="97"/>
      <c r="F3" s="98" t="s">
        <v>3</v>
      </c>
      <c r="G3" s="52" t="s">
        <v>126</v>
      </c>
      <c r="H3" s="99"/>
    </row>
    <row r="4" spans="1:8" ht="20.45" customHeight="1">
      <c r="A4" s="29" t="s">
        <v>111</v>
      </c>
      <c r="B4" s="100">
        <v>100</v>
      </c>
      <c r="C4" s="259" t="s">
        <v>110</v>
      </c>
      <c r="D4" s="260"/>
      <c r="E4" s="97"/>
      <c r="F4" s="29" t="s">
        <v>6</v>
      </c>
      <c r="G4" s="2">
        <v>6.8</v>
      </c>
      <c r="H4" s="99"/>
    </row>
    <row r="5" spans="1:8" ht="20.45" customHeight="1">
      <c r="A5" s="29" t="s">
        <v>112</v>
      </c>
      <c r="B5" s="100">
        <v>108</v>
      </c>
      <c r="C5" s="259"/>
      <c r="D5" s="260"/>
      <c r="E5" s="97"/>
      <c r="F5" s="29" t="s">
        <v>8</v>
      </c>
      <c r="G5" s="2">
        <v>6.8</v>
      </c>
      <c r="H5" s="99"/>
    </row>
    <row r="6" spans="1:8" ht="20.45" customHeight="1">
      <c r="A6" s="29" t="s">
        <v>118</v>
      </c>
      <c r="B6" s="100">
        <v>136</v>
      </c>
      <c r="C6" s="259"/>
      <c r="D6" s="260"/>
      <c r="E6" s="97"/>
      <c r="F6" s="29" t="s">
        <v>9</v>
      </c>
      <c r="G6" s="2">
        <v>6.8</v>
      </c>
      <c r="H6" s="99"/>
    </row>
    <row r="7" spans="1:8" ht="20.45" customHeight="1">
      <c r="A7" s="29" t="s">
        <v>114</v>
      </c>
      <c r="B7" s="100">
        <v>179</v>
      </c>
      <c r="C7" s="259"/>
      <c r="D7" s="260"/>
      <c r="E7" s="97"/>
      <c r="F7" s="101" t="s">
        <v>119</v>
      </c>
      <c r="G7" s="102">
        <v>6.8</v>
      </c>
      <c r="H7" s="103"/>
    </row>
    <row r="8" spans="1:8" ht="20.45" customHeight="1">
      <c r="A8" s="29" t="s">
        <v>37</v>
      </c>
      <c r="B8" s="100" t="s">
        <v>115</v>
      </c>
      <c r="C8" s="259"/>
      <c r="D8" s="260"/>
      <c r="E8" s="97"/>
      <c r="F8" s="29" t="s">
        <v>10</v>
      </c>
      <c r="G8" s="2">
        <v>6.5</v>
      </c>
      <c r="H8" s="103"/>
    </row>
    <row r="9" spans="1:8" ht="20.45" customHeight="1">
      <c r="A9" s="29" t="s">
        <v>30</v>
      </c>
      <c r="B9" s="100" t="s">
        <v>116</v>
      </c>
      <c r="C9" s="259"/>
      <c r="D9" s="260"/>
      <c r="E9" s="97"/>
      <c r="F9" s="29" t="s">
        <v>13</v>
      </c>
      <c r="G9" s="2">
        <v>6.5</v>
      </c>
      <c r="H9" s="99"/>
    </row>
    <row r="10" spans="1:8" ht="20.45" customHeight="1">
      <c r="A10" s="101"/>
      <c r="B10" s="100"/>
      <c r="C10" s="104"/>
      <c r="D10" s="102"/>
      <c r="E10" s="97"/>
      <c r="F10" s="29" t="s">
        <v>15</v>
      </c>
      <c r="G10" s="2">
        <v>6.5</v>
      </c>
      <c r="H10" s="105"/>
    </row>
    <row r="11" spans="1:8" ht="20.45" customHeight="1" thickBot="1">
      <c r="A11" s="244" t="s">
        <v>107</v>
      </c>
      <c r="B11" s="245"/>
      <c r="C11" s="106"/>
      <c r="D11" s="107"/>
      <c r="E11" s="97"/>
      <c r="F11" s="246" t="s">
        <v>106</v>
      </c>
      <c r="G11" s="247"/>
      <c r="H11" s="105"/>
    </row>
    <row r="12" spans="1:8" ht="20.45" customHeight="1" thickBot="1">
      <c r="A12" s="71"/>
      <c r="B12" s="71"/>
      <c r="C12" s="108"/>
      <c r="D12" s="109"/>
      <c r="E12" s="110"/>
      <c r="F12" s="248"/>
      <c r="G12" s="249"/>
      <c r="H12" s="105"/>
    </row>
    <row r="13" spans="1:8" ht="20.25" customHeight="1">
      <c r="A13" s="234" t="s">
        <v>94</v>
      </c>
      <c r="B13" s="235"/>
      <c r="C13" s="111"/>
      <c r="D13" s="109"/>
      <c r="E13" s="109"/>
      <c r="F13" s="112"/>
      <c r="G13" s="112"/>
      <c r="H13" s="105"/>
    </row>
    <row r="14" spans="1:8" ht="36.75" customHeight="1">
      <c r="A14" s="98" t="s">
        <v>2</v>
      </c>
      <c r="B14" s="52" t="s">
        <v>93</v>
      </c>
      <c r="C14" s="52" t="s">
        <v>21</v>
      </c>
      <c r="D14" s="109"/>
      <c r="E14" s="109"/>
      <c r="F14" s="105"/>
      <c r="G14" s="105"/>
      <c r="H14" s="105"/>
    </row>
    <row r="15" spans="1:8" ht="20.45" customHeight="1">
      <c r="A15" s="29" t="s">
        <v>70</v>
      </c>
      <c r="B15" s="2">
        <v>1.5</v>
      </c>
      <c r="C15" s="2">
        <v>2</v>
      </c>
      <c r="D15" s="109"/>
      <c r="E15" s="109"/>
      <c r="F15" s="105"/>
      <c r="G15" s="105"/>
      <c r="H15" s="105"/>
    </row>
    <row r="16" spans="1:8" ht="20.45" customHeight="1">
      <c r="A16" s="29" t="s">
        <v>71</v>
      </c>
      <c r="B16" s="2">
        <v>2.5</v>
      </c>
      <c r="C16" s="2">
        <v>3</v>
      </c>
      <c r="D16" s="109"/>
      <c r="E16" s="109"/>
      <c r="F16" s="105"/>
      <c r="G16" s="105"/>
      <c r="H16" s="105"/>
    </row>
    <row r="17" spans="1:15" ht="20.45" customHeight="1" thickBot="1">
      <c r="A17" s="31" t="s">
        <v>72</v>
      </c>
      <c r="B17" s="3">
        <v>3.5</v>
      </c>
      <c r="C17" s="3">
        <v>4</v>
      </c>
      <c r="D17" s="109"/>
      <c r="E17" s="109"/>
      <c r="F17" s="105"/>
      <c r="G17" s="105"/>
      <c r="H17" s="105"/>
    </row>
    <row r="18" spans="1:15" ht="20.45" customHeight="1">
      <c r="A18" s="236" t="s">
        <v>101</v>
      </c>
      <c r="B18" s="236"/>
      <c r="C18" s="236"/>
      <c r="D18" s="109"/>
      <c r="E18" s="109"/>
      <c r="F18" s="105"/>
      <c r="G18" s="105"/>
      <c r="H18" s="105"/>
    </row>
    <row r="19" spans="1:15" ht="20.45" customHeight="1">
      <c r="A19" s="237"/>
      <c r="B19" s="237"/>
      <c r="C19" s="237"/>
      <c r="D19" s="109"/>
      <c r="E19" s="109"/>
      <c r="F19" s="105"/>
      <c r="G19" s="105"/>
      <c r="H19" s="105"/>
    </row>
    <row r="20" spans="1:15" ht="20.45" customHeight="1">
      <c r="A20" s="238"/>
      <c r="B20" s="238"/>
      <c r="C20" s="238"/>
      <c r="D20" s="109"/>
      <c r="E20" s="109"/>
      <c r="F20" s="85"/>
      <c r="G20" s="86"/>
      <c r="H20" s="105"/>
    </row>
    <row r="21" spans="1:15" ht="26.45" customHeight="1" thickBot="1">
      <c r="A21" s="113" t="s">
        <v>98</v>
      </c>
      <c r="B21" s="114"/>
      <c r="C21" s="114"/>
      <c r="D21" s="114"/>
      <c r="E21" s="114"/>
      <c r="F21" s="114"/>
      <c r="G21" s="114"/>
      <c r="H21" s="114"/>
    </row>
    <row r="22" spans="1:15" ht="25.15" customHeight="1">
      <c r="A22" s="266" t="s">
        <v>91</v>
      </c>
      <c r="B22" s="267"/>
      <c r="C22" s="267"/>
      <c r="D22" s="267"/>
      <c r="E22" s="267"/>
      <c r="F22" s="267"/>
      <c r="G22" s="267"/>
      <c r="H22" s="268"/>
    </row>
    <row r="23" spans="1:15" ht="28.9" customHeight="1">
      <c r="A23" s="250" t="s">
        <v>95</v>
      </c>
      <c r="B23" s="251"/>
      <c r="C23" s="251"/>
      <c r="D23" s="251"/>
      <c r="E23" s="251"/>
      <c r="F23" s="251"/>
      <c r="G23" s="251"/>
      <c r="H23" s="252"/>
    </row>
    <row r="24" spans="1:15" ht="28.9" customHeight="1">
      <c r="A24" s="253"/>
      <c r="B24" s="254"/>
      <c r="C24" s="254"/>
      <c r="D24" s="254"/>
      <c r="E24" s="254"/>
      <c r="F24" s="254"/>
      <c r="G24" s="254"/>
      <c r="H24" s="255"/>
    </row>
    <row r="25" spans="1:15" ht="28.9" customHeight="1">
      <c r="A25" s="253"/>
      <c r="B25" s="254"/>
      <c r="C25" s="254"/>
      <c r="D25" s="254"/>
      <c r="E25" s="254"/>
      <c r="F25" s="254"/>
      <c r="G25" s="254"/>
      <c r="H25" s="255"/>
    </row>
    <row r="26" spans="1:15" ht="27" customHeight="1">
      <c r="A26" s="256"/>
      <c r="B26" s="257"/>
      <c r="C26" s="257"/>
      <c r="D26" s="257"/>
      <c r="E26" s="257"/>
      <c r="F26" s="257"/>
      <c r="G26" s="257"/>
      <c r="H26" s="258"/>
    </row>
    <row r="27" spans="1:15" s="61" customFormat="1" ht="22.15" customHeight="1">
      <c r="A27" s="115" t="s">
        <v>85</v>
      </c>
      <c r="B27" s="117" t="s">
        <v>89</v>
      </c>
      <c r="C27" s="118" t="s">
        <v>26</v>
      </c>
      <c r="D27" s="120"/>
      <c r="E27" s="120"/>
      <c r="F27" s="120"/>
      <c r="G27" s="120"/>
      <c r="H27" s="120"/>
      <c r="I27" s="120"/>
      <c r="J27" s="120"/>
      <c r="K27" s="120"/>
      <c r="L27" s="120"/>
      <c r="M27" s="120"/>
      <c r="N27" s="120"/>
      <c r="O27" s="120"/>
    </row>
    <row r="28" spans="1:15" ht="24" customHeight="1">
      <c r="A28" s="116" t="s">
        <v>86</v>
      </c>
      <c r="B28" s="62">
        <v>100</v>
      </c>
      <c r="C28" s="119">
        <f>((B28-B29)*0.2)+((B29-B30)*0.6)+(B30*1)</f>
        <v>97.2</v>
      </c>
      <c r="D28" s="121"/>
      <c r="E28" s="100"/>
      <c r="F28" s="100"/>
      <c r="G28" s="100"/>
      <c r="H28" s="100"/>
    </row>
    <row r="29" spans="1:15" ht="24" customHeight="1">
      <c r="A29" s="116" t="s">
        <v>87</v>
      </c>
      <c r="B29" s="62">
        <v>98</v>
      </c>
      <c r="C29" s="100"/>
      <c r="D29" s="100"/>
      <c r="E29" s="100"/>
      <c r="F29" s="100"/>
      <c r="G29" s="100"/>
      <c r="H29" s="100"/>
    </row>
    <row r="30" spans="1:15" ht="24" customHeight="1">
      <c r="A30" s="116" t="s">
        <v>88</v>
      </c>
      <c r="B30" s="62">
        <v>95</v>
      </c>
      <c r="C30" s="100"/>
      <c r="D30" s="100"/>
      <c r="E30" s="100"/>
      <c r="F30" s="100"/>
      <c r="G30" s="100"/>
      <c r="H30" s="100"/>
    </row>
    <row r="31" spans="1:15" ht="24" customHeight="1" thickBot="1">
      <c r="A31" s="263" t="s">
        <v>108</v>
      </c>
      <c r="B31" s="264"/>
      <c r="C31" s="264"/>
      <c r="D31" s="265"/>
      <c r="E31" s="122"/>
      <c r="F31" s="122"/>
      <c r="G31" s="122"/>
      <c r="H31" s="122"/>
    </row>
    <row r="32" spans="1:15" ht="25.5" customHeight="1">
      <c r="A32" s="273" t="s">
        <v>99</v>
      </c>
      <c r="B32" s="274"/>
      <c r="C32" s="274"/>
      <c r="D32" s="274"/>
      <c r="E32" s="274"/>
      <c r="F32" s="274"/>
      <c r="G32" s="274"/>
      <c r="H32" s="274"/>
    </row>
    <row r="33" spans="1:15" ht="24" customHeight="1">
      <c r="A33" s="261" t="s">
        <v>33</v>
      </c>
      <c r="B33" s="262"/>
      <c r="C33" s="262"/>
      <c r="D33" s="262"/>
      <c r="E33" s="262"/>
      <c r="F33" s="262"/>
      <c r="G33" s="262"/>
      <c r="H33" s="262"/>
    </row>
    <row r="34" spans="1:15" ht="24" customHeight="1">
      <c r="A34" s="261" t="s">
        <v>34</v>
      </c>
      <c r="B34" s="262"/>
      <c r="C34" s="262"/>
      <c r="D34" s="262"/>
      <c r="E34" s="262"/>
      <c r="F34" s="262"/>
      <c r="G34" s="262"/>
      <c r="H34" s="262"/>
    </row>
    <row r="35" spans="1:15" ht="24" customHeight="1">
      <c r="A35" s="261" t="s">
        <v>35</v>
      </c>
      <c r="B35" s="262"/>
      <c r="C35" s="262"/>
      <c r="D35" s="262"/>
      <c r="E35" s="262"/>
      <c r="F35" s="262"/>
      <c r="G35" s="262"/>
      <c r="H35" s="262"/>
    </row>
    <row r="36" spans="1:15" ht="24" customHeight="1">
      <c r="A36" s="261" t="s">
        <v>36</v>
      </c>
      <c r="B36" s="262"/>
      <c r="C36" s="262"/>
      <c r="D36" s="262"/>
      <c r="E36" s="262"/>
      <c r="F36" s="262"/>
      <c r="G36" s="262"/>
      <c r="H36" s="262"/>
    </row>
    <row r="37" spans="1:15" ht="31.5" customHeight="1">
      <c r="A37" s="269" t="s">
        <v>57</v>
      </c>
      <c r="B37" s="270"/>
      <c r="C37" s="270"/>
      <c r="D37" s="270"/>
      <c r="E37" s="270"/>
      <c r="F37" s="270"/>
      <c r="G37" s="270"/>
      <c r="H37" s="270"/>
    </row>
    <row r="38" spans="1:15" ht="36" customHeight="1">
      <c r="A38" s="261" t="s">
        <v>58</v>
      </c>
      <c r="B38" s="262"/>
      <c r="C38" s="262"/>
      <c r="D38" s="262"/>
      <c r="E38" s="262"/>
      <c r="F38" s="262"/>
      <c r="G38" s="262"/>
      <c r="H38" s="262"/>
    </row>
    <row r="39" spans="1:15" s="63" customFormat="1" ht="24" customHeight="1" thickBot="1">
      <c r="A39" s="271"/>
      <c r="B39" s="272"/>
      <c r="C39" s="272"/>
      <c r="D39" s="272"/>
      <c r="E39" s="272"/>
      <c r="F39" s="272"/>
      <c r="G39" s="272"/>
      <c r="H39" s="272"/>
      <c r="I39" s="123"/>
      <c r="J39" s="123"/>
      <c r="K39" s="123"/>
      <c r="L39" s="123"/>
      <c r="M39" s="123"/>
      <c r="N39" s="123"/>
      <c r="O39" s="123"/>
    </row>
    <row r="40" spans="1:15" s="63" customFormat="1" ht="30.6" customHeight="1">
      <c r="A40" s="123"/>
      <c r="B40" s="123"/>
      <c r="C40" s="123"/>
      <c r="D40" s="123"/>
      <c r="E40" s="123"/>
      <c r="F40" s="123"/>
      <c r="G40" s="124"/>
      <c r="H40" s="124"/>
      <c r="I40" s="123"/>
      <c r="J40" s="123"/>
      <c r="K40" s="123"/>
      <c r="L40" s="123"/>
      <c r="M40" s="123"/>
      <c r="N40" s="123"/>
      <c r="O40" s="123"/>
    </row>
    <row r="41" spans="1:15" s="63" customFormat="1" ht="30.6" customHeight="1">
      <c r="A41" s="123"/>
      <c r="B41" s="123"/>
      <c r="C41" s="123"/>
      <c r="D41" s="123"/>
      <c r="E41" s="123"/>
      <c r="F41" s="123"/>
      <c r="G41" s="123"/>
      <c r="H41" s="123"/>
      <c r="I41" s="123"/>
      <c r="J41" s="123"/>
      <c r="K41" s="123"/>
      <c r="L41" s="123"/>
      <c r="M41" s="123"/>
      <c r="N41" s="123"/>
      <c r="O41" s="123"/>
    </row>
    <row r="42" spans="1:15" s="63" customFormat="1" ht="30.6" customHeight="1">
      <c r="A42" s="123"/>
      <c r="B42" s="123"/>
      <c r="C42" s="123"/>
      <c r="D42" s="123"/>
      <c r="E42" s="123"/>
      <c r="F42" s="123"/>
      <c r="G42" s="123"/>
      <c r="H42" s="123"/>
      <c r="I42" s="123"/>
      <c r="J42" s="123"/>
      <c r="K42" s="123"/>
      <c r="L42" s="123"/>
      <c r="M42" s="123"/>
      <c r="N42" s="123"/>
      <c r="O42" s="123"/>
    </row>
    <row r="43" spans="1:15" s="63" customFormat="1" ht="30.6" customHeight="1">
      <c r="A43" s="123"/>
      <c r="B43" s="123"/>
      <c r="C43" s="123"/>
      <c r="D43" s="123"/>
      <c r="E43" s="123"/>
      <c r="F43" s="123"/>
      <c r="G43" s="123"/>
      <c r="H43" s="123"/>
      <c r="I43" s="123"/>
      <c r="J43" s="123"/>
      <c r="K43" s="123"/>
      <c r="L43" s="123"/>
      <c r="M43" s="123"/>
      <c r="N43" s="123"/>
      <c r="O43" s="123"/>
    </row>
    <row r="44" spans="1:15" s="63" customFormat="1" ht="30.6" customHeight="1">
      <c r="A44" s="123"/>
      <c r="B44" s="123"/>
      <c r="C44" s="123"/>
      <c r="D44" s="123"/>
      <c r="E44" s="123"/>
      <c r="F44" s="123"/>
      <c r="G44" s="123"/>
      <c r="H44" s="123"/>
      <c r="I44" s="123"/>
      <c r="J44" s="123"/>
      <c r="K44" s="123"/>
      <c r="L44" s="123"/>
      <c r="M44" s="123"/>
      <c r="N44" s="123"/>
      <c r="O44" s="123"/>
    </row>
    <row r="45" spans="1:15" s="63" customFormat="1" ht="30.6" customHeight="1">
      <c r="A45" s="123"/>
      <c r="B45" s="123"/>
      <c r="C45" s="123"/>
      <c r="D45" s="123"/>
      <c r="E45" s="123"/>
      <c r="F45" s="123"/>
      <c r="G45" s="123"/>
      <c r="H45" s="123"/>
      <c r="I45" s="123"/>
      <c r="J45" s="123"/>
      <c r="K45" s="123"/>
      <c r="L45" s="123"/>
      <c r="M45" s="123"/>
      <c r="N45" s="123"/>
      <c r="O45" s="123"/>
    </row>
    <row r="46" spans="1:15" s="63" customFormat="1" ht="30.6" customHeight="1">
      <c r="I46" s="123"/>
      <c r="J46" s="123"/>
      <c r="K46" s="123"/>
      <c r="L46" s="123"/>
      <c r="M46" s="123"/>
      <c r="N46" s="123"/>
      <c r="O46" s="123"/>
    </row>
    <row r="47" spans="1:15" s="63" customFormat="1" ht="30.6" customHeight="1">
      <c r="I47" s="123"/>
      <c r="J47" s="123"/>
      <c r="K47" s="123"/>
      <c r="L47" s="123"/>
      <c r="M47" s="123"/>
      <c r="N47" s="123"/>
      <c r="O47" s="123"/>
    </row>
    <row r="48" spans="1:15" s="63" customFormat="1" ht="30.6" customHeight="1">
      <c r="I48" s="123"/>
      <c r="J48" s="123"/>
      <c r="K48" s="123"/>
      <c r="L48" s="123"/>
      <c r="M48" s="123"/>
      <c r="N48" s="123"/>
      <c r="O48" s="123"/>
    </row>
    <row r="49" spans="9:15" s="63" customFormat="1" ht="30.6" customHeight="1">
      <c r="I49" s="123"/>
      <c r="J49" s="123"/>
      <c r="K49" s="123"/>
      <c r="L49" s="123"/>
      <c r="M49" s="123"/>
      <c r="N49" s="123"/>
      <c r="O49" s="123"/>
    </row>
    <row r="50" spans="9:15" s="63" customFormat="1" ht="30.6" customHeight="1">
      <c r="I50" s="123"/>
      <c r="J50" s="123"/>
      <c r="K50" s="123"/>
      <c r="L50" s="123"/>
      <c r="M50" s="123"/>
      <c r="N50" s="123"/>
      <c r="O50" s="123"/>
    </row>
    <row r="51" spans="9:15" s="63" customFormat="1" ht="30.6" customHeight="1">
      <c r="I51" s="123"/>
      <c r="J51" s="123"/>
      <c r="K51" s="123"/>
      <c r="L51" s="123"/>
      <c r="M51" s="123"/>
      <c r="N51" s="123"/>
      <c r="O51" s="123"/>
    </row>
  </sheetData>
  <sheetProtection algorithmName="SHA-512" hashValue="hgNSU3pugnml0r5SxLNQrgl75GHpEc2qVrbLSEeJFlQso46We5r6Mhw6UmaTSW04xxe6Eg1fdvjX3bg169P1QQ==" saltValue="SS4Z3ltX5Pa7+jvTupLR7g==" spinCount="100000" sheet="1" objects="1" scenarios="1"/>
  <mergeCells count="19">
    <mergeCell ref="A36:H36"/>
    <mergeCell ref="A37:H37"/>
    <mergeCell ref="A38:H38"/>
    <mergeCell ref="A39:H39"/>
    <mergeCell ref="A32:H32"/>
    <mergeCell ref="A23:H26"/>
    <mergeCell ref="C4:D9"/>
    <mergeCell ref="A33:H33"/>
    <mergeCell ref="A34:H34"/>
    <mergeCell ref="A35:H35"/>
    <mergeCell ref="A31:D31"/>
    <mergeCell ref="A22:H22"/>
    <mergeCell ref="A1:H1"/>
    <mergeCell ref="A13:B13"/>
    <mergeCell ref="A18:C20"/>
    <mergeCell ref="A2:D2"/>
    <mergeCell ref="F2:G2"/>
    <mergeCell ref="A11:B11"/>
    <mergeCell ref="F11:G12"/>
  </mergeCells>
  <hyperlinks>
    <hyperlink ref="A37" r:id="rId1" xr:uid="{669C4F98-1046-4D5C-8650-40E6D4A645D3}"/>
    <hyperlink ref="A18" r:id="rId2" display="https://governmentofbc.maps.arcgis.com/apps/webappviewer/index.html?id=28dae855df3e42db8edc04319aa2dbf5" xr:uid="{688647A5-603C-4A85-A7E0-127C7667C3C4}"/>
    <hyperlink ref="A11" r:id="rId3" display="https://www2.gov.bc.ca/assets/gov/farming-natural-resources-and-industry/agriculture-and-seafood/agricultural-land-and-environment/soil-nutrients/600-series/637000-1_liming_acid_soils_in_central_bc.pdf" xr:uid="{7BF779AB-39B3-4656-962C-BDDBA4307058}"/>
    <hyperlink ref="A31" r:id="rId4" display="https://www2.gov.bc.ca/assets/gov/farming-natural-resources-and-industry/agriculture-and-seafood/agricultural-land-and-environment/soil-nutrients/600-series/637200-2_evaluation_agricultural_limestone.pdf" xr:uid="{B0927733-91A5-4AF1-83F5-6555BBC41377}"/>
    <hyperlink ref="F11" r:id="rId5" display="https://www2.gov.bc.ca/assets/gov/farming-natural-resources-and-industry/agriculture-and-seafood/agricultural-land-and-environment/soil-nutrients/600-series/637100-1_understanding_soil_ph.pdf" xr:uid="{B615B6E1-F52B-4984-BC4C-37521706F61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9ED4F-D78C-42AA-BD2A-C01DB30371E4}">
  <sheetPr codeName="Sheet4"/>
  <dimension ref="A2:U22"/>
  <sheetViews>
    <sheetView topLeftCell="E2" workbookViewId="0">
      <selection activeCell="G21" sqref="G21"/>
    </sheetView>
  </sheetViews>
  <sheetFormatPr defaultColWidth="9" defaultRowHeight="18"/>
  <cols>
    <col min="1" max="1" width="9" style="1"/>
    <col min="2" max="2" width="30" style="1" customWidth="1"/>
    <col min="3" max="3" width="32.875" style="1" customWidth="1"/>
    <col min="4" max="5" width="9" style="1"/>
    <col min="6" max="6" width="33.75" style="1" customWidth="1"/>
    <col min="7" max="7" width="33.25" style="1" customWidth="1"/>
    <col min="8" max="8" width="14.75" style="1" customWidth="1"/>
    <col min="9" max="9" width="11.5" style="1" customWidth="1"/>
    <col min="10" max="10" width="22.875" style="1" customWidth="1"/>
    <col min="11" max="11" width="17.25" style="1" customWidth="1"/>
    <col min="12" max="12" width="13.25" style="1" customWidth="1"/>
    <col min="13" max="13" width="16.875" style="1" customWidth="1"/>
    <col min="14" max="14" width="12.625" style="1" customWidth="1"/>
    <col min="15" max="15" width="11.75" style="1" customWidth="1"/>
    <col min="16" max="16" width="10.875" style="1" customWidth="1"/>
    <col min="17" max="17" width="15.625" style="1" customWidth="1"/>
    <col min="18" max="18" width="13.125" style="1" customWidth="1"/>
    <col min="19" max="16384" width="9" style="1"/>
  </cols>
  <sheetData>
    <row r="2" spans="1:21" ht="18.75" thickBot="1">
      <c r="B2" s="18"/>
      <c r="C2" s="18"/>
      <c r="D2" s="18"/>
      <c r="F2" s="18"/>
      <c r="G2" s="18"/>
      <c r="H2" s="18"/>
      <c r="I2" s="18"/>
      <c r="J2" s="18"/>
      <c r="K2" s="18"/>
      <c r="L2" s="18"/>
      <c r="M2" s="18"/>
      <c r="N2" s="18"/>
      <c r="O2" s="18"/>
      <c r="P2" s="18"/>
    </row>
    <row r="3" spans="1:21" s="26" customFormat="1" ht="39.75" customHeight="1">
      <c r="A3" s="19"/>
      <c r="B3" s="278" t="s">
        <v>97</v>
      </c>
      <c r="C3" s="279"/>
      <c r="D3" s="280"/>
      <c r="E3" s="53"/>
      <c r="F3" s="20" t="s">
        <v>25</v>
      </c>
      <c r="G3" s="21" t="str">
        <f>'Liming Economic Calculator'!E3</f>
        <v>Product</v>
      </c>
      <c r="H3" s="21" t="str">
        <f>'Liming Economic Calculator'!G3</f>
        <v>CCE (%)</v>
      </c>
      <c r="I3" s="21" t="str">
        <f>'Liming Economic Calculator'!H3</f>
        <v>Fineness factor</v>
      </c>
      <c r="J3" s="21" t="str">
        <f>'Liming Economic Calculator'!I3</f>
        <v>Price ($/ton)</v>
      </c>
      <c r="K3" s="21" t="str">
        <f>'Liming Economic Calculator'!J3</f>
        <v>Hauling ($/ton)</v>
      </c>
      <c r="L3" s="21" t="str">
        <f>'Liming Economic Calculator'!K3</f>
        <v>Application cost ($/ac)</v>
      </c>
      <c r="M3" s="22" t="s">
        <v>40</v>
      </c>
      <c r="N3" s="23" t="s">
        <v>43</v>
      </c>
      <c r="O3" s="23" t="s">
        <v>38</v>
      </c>
      <c r="P3" s="24" t="s">
        <v>44</v>
      </c>
      <c r="Q3" s="23" t="s">
        <v>103</v>
      </c>
      <c r="R3" s="24" t="s">
        <v>12</v>
      </c>
      <c r="S3" s="24" t="s">
        <v>27</v>
      </c>
      <c r="T3" s="24" t="s">
        <v>28</v>
      </c>
      <c r="U3" s="25" t="s">
        <v>29</v>
      </c>
    </row>
    <row r="4" spans="1:21" ht="20.45" customHeight="1">
      <c r="A4" s="27"/>
      <c r="B4" s="50" t="s">
        <v>2</v>
      </c>
      <c r="C4" s="51" t="s">
        <v>45</v>
      </c>
      <c r="D4" s="52" t="s">
        <v>21</v>
      </c>
      <c r="E4" s="54"/>
      <c r="F4" s="58" t="s">
        <v>75</v>
      </c>
      <c r="G4" s="28" t="str">
        <f>'Liming Economic Calculator'!E5</f>
        <v>Dolomitic lime (CaMg(CO3)2)</v>
      </c>
      <c r="H4" s="56">
        <f>'Liming Economic Calculator'!G5</f>
        <v>138</v>
      </c>
      <c r="I4" s="56">
        <f>'Liming Economic Calculator'!H5</f>
        <v>0.9</v>
      </c>
      <c r="J4" s="56">
        <f>'Liming Economic Calculator'!I5</f>
        <v>890</v>
      </c>
      <c r="K4" s="56">
        <f>'Liming Economic Calculator'!J5</f>
        <v>14</v>
      </c>
      <c r="L4" s="56">
        <f>'Liming Economic Calculator'!K5</f>
        <v>24</v>
      </c>
      <c r="M4" s="14">
        <f>IF(OR(H4=0,I4=0),"",$C$12/((H4/100)*I4))</f>
        <v>2.6570048309178738</v>
      </c>
      <c r="N4" s="14">
        <f>M4*J4</f>
        <v>2364.7342995169079</v>
      </c>
      <c r="O4" s="14">
        <f>M4*K4</f>
        <v>37.198067632850233</v>
      </c>
      <c r="P4" s="14">
        <f>N4+O4+L4</f>
        <v>2425.9323671497582</v>
      </c>
      <c r="Q4" s="14">
        <f>'Liming Economic Calculator'!$B$11*'Liming Economic Calculator'!$B$12*'Liming Economic Calculator'!$B$13</f>
        <v>3780</v>
      </c>
      <c r="R4" s="14">
        <f>Q4-P4</f>
        <v>1354.0676328502418</v>
      </c>
      <c r="S4" s="14">
        <f>IF(P4=0,"",Q4/P4)</f>
        <v>1.5581638017555879</v>
      </c>
      <c r="T4" s="14">
        <f>IF('Liming Economic Calculator'!$B$11*'Liming Economic Calculator'!$B$12=0,"",P4/('Liming Economic Calculator'!$B$11*'Liming Economic Calculator'!$B$12))</f>
        <v>1.9253431485315542</v>
      </c>
      <c r="U4" s="37">
        <f>_xlfn.RANK.EQ(R4,$R$4:$R$7,0)</f>
        <v>1</v>
      </c>
    </row>
    <row r="5" spans="1:21" ht="20.45" customHeight="1">
      <c r="A5" s="27"/>
      <c r="B5" s="29" t="s">
        <v>70</v>
      </c>
      <c r="C5" s="2">
        <v>1.5</v>
      </c>
      <c r="D5" s="2">
        <v>2</v>
      </c>
      <c r="E5" s="54"/>
      <c r="F5" s="58" t="s">
        <v>113</v>
      </c>
      <c r="G5" s="28" t="str">
        <f>'Liming Economic Calculator'!E6</f>
        <v>Slaked/hydrated lime (Ca(OH)2)</v>
      </c>
      <c r="H5" s="56">
        <f>'Liming Economic Calculator'!G6</f>
        <v>108</v>
      </c>
      <c r="I5" s="56">
        <f>'Liming Economic Calculator'!H6</f>
        <v>0.82</v>
      </c>
      <c r="J5" s="56">
        <f>'Liming Economic Calculator'!I6</f>
        <v>870</v>
      </c>
      <c r="K5" s="56">
        <f>'Liming Economic Calculator'!J6</f>
        <v>16</v>
      </c>
      <c r="L5" s="56">
        <f>'Liming Economic Calculator'!K6</f>
        <v>25</v>
      </c>
      <c r="M5" s="14">
        <f t="shared" ref="M5:M6" si="0">IF(OR(H5=0,I5=0),"",$C$12/((H5/100)*I5))</f>
        <v>3.7262872628726278</v>
      </c>
      <c r="N5" s="14">
        <f t="shared" ref="N5:N7" si="1">M5*J5</f>
        <v>3241.8699186991862</v>
      </c>
      <c r="O5" s="14">
        <f t="shared" ref="O5:O7" si="2">M5*K5</f>
        <v>59.620596205962045</v>
      </c>
      <c r="P5" s="14">
        <f t="shared" ref="P5:P7" si="3">N5+O5+L5</f>
        <v>3326.4905149051483</v>
      </c>
      <c r="Q5" s="14">
        <f>'Liming Economic Calculator'!$B$11*'Liming Economic Calculator'!$B$12*'Liming Economic Calculator'!$B$13</f>
        <v>3780</v>
      </c>
      <c r="R5" s="14">
        <f>Q5-P5</f>
        <v>453.5094850948517</v>
      </c>
      <c r="S5" s="14">
        <f>IF(P5=0,"",Q5/P5)</f>
        <v>1.1363327155339216</v>
      </c>
      <c r="T5" s="14">
        <f>IF('Liming Economic Calculator'!$B$11*'Liming Economic Calculator'!$B$12=0,"",P5/('Liming Economic Calculator'!$B$11*'Liming Economic Calculator'!$B$12))</f>
        <v>2.6400718372263081</v>
      </c>
      <c r="U5" s="37">
        <f>_xlfn.RANK.EQ(R5,$R$4:$R$7,0)</f>
        <v>3</v>
      </c>
    </row>
    <row r="6" spans="1:21" ht="20.45" customHeight="1">
      <c r="A6" s="27"/>
      <c r="B6" s="29" t="s">
        <v>71</v>
      </c>
      <c r="C6" s="2">
        <v>2.5</v>
      </c>
      <c r="D6" s="2">
        <v>3</v>
      </c>
      <c r="E6" s="54"/>
      <c r="F6" s="58" t="s">
        <v>30</v>
      </c>
      <c r="G6" s="28" t="str">
        <f>'Liming Economic Calculator'!E7</f>
        <v>Wood ash</v>
      </c>
      <c r="H6" s="56">
        <f>'Liming Economic Calculator'!G7</f>
        <v>150</v>
      </c>
      <c r="I6" s="56">
        <f>'Liming Economic Calculator'!H7</f>
        <v>0.8</v>
      </c>
      <c r="J6" s="56">
        <f>'Liming Economic Calculator'!I7</f>
        <v>905</v>
      </c>
      <c r="K6" s="56">
        <f>'Liming Economic Calculator'!J7</f>
        <v>12</v>
      </c>
      <c r="L6" s="56">
        <f>'Liming Economic Calculator'!K7</f>
        <v>26</v>
      </c>
      <c r="M6" s="14">
        <f t="shared" si="0"/>
        <v>2.7499999999999991</v>
      </c>
      <c r="N6" s="14">
        <f t="shared" si="1"/>
        <v>2488.7499999999991</v>
      </c>
      <c r="O6" s="14">
        <f t="shared" si="2"/>
        <v>32.999999999999986</v>
      </c>
      <c r="P6" s="14">
        <f t="shared" si="3"/>
        <v>2547.7499999999991</v>
      </c>
      <c r="Q6" s="14">
        <f>'Liming Economic Calculator'!$B$11*'Liming Economic Calculator'!$B$12*'Liming Economic Calculator'!$B$13</f>
        <v>3780</v>
      </c>
      <c r="R6" s="14">
        <f>Q6-P6</f>
        <v>1232.2500000000009</v>
      </c>
      <c r="S6" s="14">
        <f>IF(P6=0,"",Q6/P6)</f>
        <v>1.4836620547541954</v>
      </c>
      <c r="T6" s="14">
        <f>IF('Liming Economic Calculator'!$B$11*'Liming Economic Calculator'!$B$12=0,"",P6/('Liming Economic Calculator'!$B$11*'Liming Economic Calculator'!$B$12))</f>
        <v>2.0220238095238088</v>
      </c>
      <c r="U6" s="37">
        <f>_xlfn.RANK.EQ(R6,$R$4:$R$7,0)</f>
        <v>2</v>
      </c>
    </row>
    <row r="7" spans="1:21" ht="20.45" customHeight="1" thickBot="1">
      <c r="A7" s="27"/>
      <c r="B7" s="29" t="s">
        <v>72</v>
      </c>
      <c r="C7" s="2">
        <v>3.5</v>
      </c>
      <c r="D7" s="2">
        <v>4</v>
      </c>
      <c r="E7" s="54"/>
      <c r="F7" s="15" t="s">
        <v>76</v>
      </c>
      <c r="G7" s="30" t="str">
        <f>'Liming Economic Calculator'!E8</f>
        <v>Custom product 1</v>
      </c>
      <c r="H7" s="57">
        <f>'Liming Economic Calculator'!G8</f>
        <v>82</v>
      </c>
      <c r="I7" s="57">
        <f>'Liming Economic Calculator'!H8</f>
        <v>0.87</v>
      </c>
      <c r="J7" s="57">
        <f>'Liming Economic Calculator'!I8</f>
        <v>750</v>
      </c>
      <c r="K7" s="57">
        <f>'Liming Economic Calculator'!J8</f>
        <v>10</v>
      </c>
      <c r="L7" s="57">
        <f>'Liming Economic Calculator'!K8</f>
        <v>25</v>
      </c>
      <c r="M7" s="14">
        <f>IF(OR(H7=0,I7=0),"",$C$12/((H7/100)*I7))</f>
        <v>4.6257359125315389</v>
      </c>
      <c r="N7" s="14">
        <f t="shared" si="1"/>
        <v>3469.3019343986543</v>
      </c>
      <c r="O7" s="14">
        <f t="shared" si="2"/>
        <v>46.257359125315389</v>
      </c>
      <c r="P7" s="14">
        <f t="shared" si="3"/>
        <v>3540.5592935239697</v>
      </c>
      <c r="Q7" s="38">
        <f>'Liming Economic Calculator'!$B$11*'Liming Economic Calculator'!$B$12*'Liming Economic Calculator'!$B$13</f>
        <v>3780</v>
      </c>
      <c r="R7" s="38">
        <f>Q7-P7</f>
        <v>239.4407064760303</v>
      </c>
      <c r="S7" s="38">
        <f>IF(P7=0,"",Q7/P7)</f>
        <v>1.0676279329409879</v>
      </c>
      <c r="T7" s="38">
        <f>IF('Liming Economic Calculator'!$B$11*'Liming Economic Calculator'!$B$12=0,"",P7/('Liming Economic Calculator'!$B$11*'Liming Economic Calculator'!$B$12))</f>
        <v>2.8099676932729918</v>
      </c>
      <c r="U7" s="39">
        <f>_xlfn.RANK.EQ(R7,$R$4:$R$7,0)</f>
        <v>4</v>
      </c>
    </row>
    <row r="8" spans="1:21" ht="20.45" customHeight="1" thickBot="1">
      <c r="A8" s="27"/>
      <c r="B8" s="31" t="s">
        <v>96</v>
      </c>
      <c r="C8" s="3" t="str">
        <f>'Liming Economic Calculator'!B7</f>
        <v>Loam/silt loam/silty clay loam</v>
      </c>
      <c r="D8" s="55">
        <f>VLOOKUP(C8,B5:D7,3,FALSE)</f>
        <v>3</v>
      </c>
      <c r="E8" s="54"/>
      <c r="F8" s="58" t="s">
        <v>37</v>
      </c>
      <c r="G8" s="32"/>
      <c r="H8" s="33"/>
      <c r="I8" s="34"/>
      <c r="J8" s="34"/>
      <c r="K8" s="34"/>
      <c r="L8" s="34"/>
      <c r="M8" s="34"/>
      <c r="N8" s="33"/>
      <c r="O8" s="33"/>
      <c r="P8" s="35"/>
    </row>
    <row r="9" spans="1:21" ht="20.45" customHeight="1" thickTop="1">
      <c r="B9" s="4"/>
      <c r="C9" s="4"/>
      <c r="D9" s="4"/>
      <c r="E9" s="27"/>
      <c r="F9" s="58" t="s">
        <v>117</v>
      </c>
      <c r="G9" s="281" t="s">
        <v>50</v>
      </c>
      <c r="H9" s="282"/>
      <c r="I9" s="282"/>
      <c r="J9" s="282"/>
      <c r="K9" s="282"/>
      <c r="L9" s="282"/>
      <c r="M9" s="282"/>
      <c r="N9" s="283"/>
    </row>
    <row r="10" spans="1:21" ht="20.45" customHeight="1" thickBot="1">
      <c r="E10" s="27"/>
      <c r="F10" s="58" t="s">
        <v>31</v>
      </c>
      <c r="G10" s="288" t="s">
        <v>18</v>
      </c>
      <c r="H10" s="284" t="s">
        <v>52</v>
      </c>
      <c r="I10" s="284" t="s">
        <v>53</v>
      </c>
      <c r="J10" s="284" t="s">
        <v>51</v>
      </c>
      <c r="K10" s="284" t="s">
        <v>69</v>
      </c>
      <c r="L10" s="284" t="s">
        <v>19</v>
      </c>
      <c r="M10" s="284" t="s">
        <v>102</v>
      </c>
      <c r="N10" s="286" t="s">
        <v>20</v>
      </c>
    </row>
    <row r="11" spans="1:21" ht="33.6" customHeight="1" thickBot="1">
      <c r="B11" s="193" t="s">
        <v>49</v>
      </c>
      <c r="C11" s="277"/>
      <c r="D11" s="17"/>
      <c r="E11" s="27"/>
      <c r="F11" s="59" t="s">
        <v>32</v>
      </c>
      <c r="G11" s="289"/>
      <c r="H11" s="285"/>
      <c r="I11" s="285"/>
      <c r="J11" s="285"/>
      <c r="K11" s="285"/>
      <c r="L11" s="285"/>
      <c r="M11" s="285"/>
      <c r="N11" s="287"/>
    </row>
    <row r="12" spans="1:21" ht="22.9" customHeight="1">
      <c r="B12" s="5" t="s">
        <v>1</v>
      </c>
      <c r="C12" s="9">
        <f>IF('Liming Economic Calculator'!$B$6="",MAX(0,'Liming Economic Calculator'!$B$5-'Liming Economic Calculator'!$B$4)*VLOOKUP('Liming Economic Calculator'!$B$7,$B$5:$C$8,2,FALSE)*'Liming Economic Calculator'!B8/6,'Liming Economic Calculator'!$B$6*'Liming Economic Calculator'!B8/6)</f>
        <v>3.2999999999999994</v>
      </c>
      <c r="D12" s="16"/>
      <c r="E12" s="27"/>
      <c r="F12" s="36"/>
      <c r="G12" s="42" t="s">
        <v>22</v>
      </c>
      <c r="H12" s="40">
        <f>'Liming Economic Calculator'!B27</f>
        <v>1.5</v>
      </c>
      <c r="I12" s="40">
        <f>H12*'Liming Economic Calculator'!$B$12*'Liming Economic Calculator'!$B$13</f>
        <v>1890</v>
      </c>
      <c r="J12" s="41" t="str" cm="1">
        <f t="array" ref="J12">_xlfn.XLOOKUP(MAX('Backend Calculation'!$R$4:$R$7+($H12-'Liming Economic Calculator'!$B$11)*'Liming Economic Calculator'!$B$12*'Liming Economic Calculator'!$B$13),'Backend Calculation'!$R$4:$R$7+($H12-'Liming Economic Calculator'!$B$11)*'Liming Economic Calculator'!$B$12*'Liming Economic Calculator'!$B$13,'Liming Economic Calculator'!$E$5:$E$8)</f>
        <v>Dolomitic lime (CaMg(CO3)2)</v>
      </c>
      <c r="K12" s="40" cm="1">
        <f t="array" ref="K12">MAX('Backend Calculation'!$R$4:$R$7+($H12-'Liming Economic Calculator'!$B$11)*'Liming Economic Calculator'!$B$12*'Liming Economic Calculator'!$B$13)</f>
        <v>-535.93236714975819</v>
      </c>
      <c r="L12" s="40">
        <f>IFERROR(I12/_xlfn.XLOOKUP(J12,'Liming Economic Calculator'!$E$5:$E$8,'Backend Calculation'!$P$4:$P$7),0)</f>
        <v>0.77908190087779394</v>
      </c>
      <c r="M12" s="40">
        <f>K12*'Liming Economic Calculator'!$B$9</f>
        <v>-26796.618357487911</v>
      </c>
      <c r="N12" s="43" t="str">
        <f>IF(K12&gt;0,"Profitable","Not profitable")</f>
        <v>Not profitable</v>
      </c>
    </row>
    <row r="13" spans="1:21" ht="22.9" customHeight="1">
      <c r="B13" s="5" t="s">
        <v>5</v>
      </c>
      <c r="C13" s="10" t="str">
        <f>_xlfn.XLOOKUP(MAX($R$4:$R$7),$R$4:$R$7,'Liming Economic Calculator'!$E$5:$E$8)</f>
        <v>Dolomitic lime (CaMg(CO3)2)</v>
      </c>
      <c r="D13" s="16"/>
      <c r="E13" s="27"/>
      <c r="G13" s="42" t="s">
        <v>23</v>
      </c>
      <c r="H13" s="40">
        <f>'Liming Economic Calculator'!B28</f>
        <v>2.5</v>
      </c>
      <c r="I13" s="40">
        <f>H13*'Liming Economic Calculator'!$B$12*'Liming Economic Calculator'!$B$13</f>
        <v>3150</v>
      </c>
      <c r="J13" s="41" t="str" cm="1">
        <f t="array" ref="J13">_xlfn.XLOOKUP(MAX('Backend Calculation'!$R$4:$R$7+($H13-'Liming Economic Calculator'!$B$11)*'Liming Economic Calculator'!$B$12*'Liming Economic Calculator'!$B$13),'Backend Calculation'!$R$4:$R$7+($H13-'Liming Economic Calculator'!$B$11)*'Liming Economic Calculator'!$B$12*'Liming Economic Calculator'!$B$13,'Liming Economic Calculator'!$E$5:$E$8)</f>
        <v>Dolomitic lime (CaMg(CO3)2)</v>
      </c>
      <c r="K13" s="40" cm="1">
        <f t="array" ref="K13">MAX('Backend Calculation'!$R$4:$R$7+($H13-'Liming Economic Calculator'!$B$11)*'Liming Economic Calculator'!$B$12*'Liming Economic Calculator'!$B$13)</f>
        <v>724.06763285024181</v>
      </c>
      <c r="L13" s="40">
        <f>IFERROR(I13/_xlfn.XLOOKUP(J13,'Liming Economic Calculator'!$E$5:$E$8,'Backend Calculation'!$P$4:$P$7),0)</f>
        <v>1.2984698347963233</v>
      </c>
      <c r="M13" s="40">
        <f>K13*'Liming Economic Calculator'!$B$9</f>
        <v>36203.381642512089</v>
      </c>
      <c r="N13" s="43" t="str">
        <f>IF(K13&gt;0,"Profitable","Not profitable")</f>
        <v>Profitable</v>
      </c>
    </row>
    <row r="14" spans="1:21" ht="22.9" customHeight="1">
      <c r="B14" s="5" t="s">
        <v>7</v>
      </c>
      <c r="C14" s="10" t="str">
        <f>_xlfn.XLOOKUP(MIN($P$4:$P$7),$P$4:$P$7,'Liming Economic Calculator'!$E$5:$E$8)</f>
        <v>Dolomitic lime (CaMg(CO3)2)</v>
      </c>
      <c r="D14" s="16"/>
      <c r="E14" s="27"/>
      <c r="G14" s="42" t="s">
        <v>24</v>
      </c>
      <c r="H14" s="40">
        <f>'Liming Economic Calculator'!B29</f>
        <v>4</v>
      </c>
      <c r="I14" s="40">
        <f>H14*'Liming Economic Calculator'!$B$12*'Liming Economic Calculator'!$B$13</f>
        <v>5040</v>
      </c>
      <c r="J14" s="41" t="str" cm="1">
        <f t="array" ref="J14">_xlfn.XLOOKUP(MAX('Backend Calculation'!$R$4:$R$7+($H14-'Liming Economic Calculator'!$B$11)*'Liming Economic Calculator'!$B$12*'Liming Economic Calculator'!$B$13),'Backend Calculation'!$R$4:$R$7+($H14-'Liming Economic Calculator'!$B$11)*'Liming Economic Calculator'!$B$12*'Liming Economic Calculator'!$B$13,'Liming Economic Calculator'!$E$5:$E$8)</f>
        <v>Dolomitic lime (CaMg(CO3)2)</v>
      </c>
      <c r="K14" s="40" cm="1">
        <f t="array" ref="K14">MAX('Backend Calculation'!$R$4:$R$7+($H14-'Liming Economic Calculator'!$B$11)*'Liming Economic Calculator'!$B$12*'Liming Economic Calculator'!$B$13)</f>
        <v>2614.0676328502418</v>
      </c>
      <c r="L14" s="40">
        <f>IFERROR(I14/_xlfn.XLOOKUP(J14,'Liming Economic Calculator'!$E$5:$E$8,'Backend Calculation'!$P$4:$P$7),0)</f>
        <v>2.0775517356741173</v>
      </c>
      <c r="M14" s="40">
        <f>K14*'Liming Economic Calculator'!$B$9</f>
        <v>130703.38164251209</v>
      </c>
      <c r="N14" s="43" t="str">
        <f>IF(K14&gt;0,"Profitable","Not profitable")</f>
        <v>Profitable</v>
      </c>
    </row>
    <row r="15" spans="1:21" ht="22.9" customHeight="1" thickBot="1">
      <c r="B15" s="5" t="s">
        <v>42</v>
      </c>
      <c r="C15" s="9">
        <f>_xlfn.XLOOKUP(C13,'Liming Economic Calculator'!$E$5:$E$8,$M$4:$M$7)</f>
        <v>2.6570048309178738</v>
      </c>
      <c r="D15" s="16"/>
      <c r="E15" s="27"/>
      <c r="G15" s="44"/>
      <c r="H15" s="45"/>
      <c r="I15" s="45"/>
      <c r="J15" s="46"/>
      <c r="K15" s="47"/>
      <c r="L15" s="47"/>
      <c r="M15" s="47"/>
      <c r="N15" s="48"/>
    </row>
    <row r="16" spans="1:21" ht="22.9" customHeight="1" thickTop="1">
      <c r="B16" s="7" t="s">
        <v>59</v>
      </c>
      <c r="C16" s="11">
        <f>C15*'Liming Economic Calculator'!B9</f>
        <v>132.85024154589368</v>
      </c>
      <c r="D16" s="16"/>
      <c r="E16" s="27"/>
    </row>
    <row r="17" spans="2:4" ht="22.9" customHeight="1">
      <c r="B17" s="8" t="s">
        <v>43</v>
      </c>
      <c r="C17" s="9">
        <f>_xlfn.XLOOKUP(C13,'Liming Economic Calculator'!$E$5:$E$8,$P$4:$P$7)</f>
        <v>2425.9323671497582</v>
      </c>
      <c r="D17" s="16"/>
    </row>
    <row r="18" spans="2:4" ht="22.9" customHeight="1">
      <c r="B18" s="5" t="s">
        <v>60</v>
      </c>
      <c r="C18" s="9">
        <f>C17*'Liming Economic Calculator'!B9</f>
        <v>121296.61835748791</v>
      </c>
      <c r="D18" s="16"/>
    </row>
    <row r="19" spans="2:4" ht="22.9" customHeight="1">
      <c r="B19" s="5" t="s">
        <v>12</v>
      </c>
      <c r="C19" s="12">
        <f>_xlfn.XLOOKUP(C13,'Liming Economic Calculator'!$E$5:$E$8,$R$4:$R$7)</f>
        <v>1354.0676328502418</v>
      </c>
      <c r="D19" s="16"/>
    </row>
    <row r="20" spans="2:4" ht="22.9" customHeight="1">
      <c r="B20" s="5" t="s">
        <v>14</v>
      </c>
      <c r="C20" s="9">
        <f>_xlfn.XLOOKUP(C13,'Liming Economic Calculator'!$E$5:$E$8,$S$4:$S$7)</f>
        <v>1.5581638017555879</v>
      </c>
      <c r="D20" s="16"/>
    </row>
    <row r="21" spans="2:4">
      <c r="B21" s="5" t="s">
        <v>16</v>
      </c>
      <c r="C21" s="13">
        <f>_xlfn.XLOOKUP(C13,'Liming Economic Calculator'!$E$5:$E$8,$T$4:$T$7)</f>
        <v>1.9253431485315542</v>
      </c>
      <c r="D21" s="16"/>
    </row>
    <row r="22" spans="2:4" ht="18.75" thickBot="1">
      <c r="B22" s="6" t="s">
        <v>17</v>
      </c>
      <c r="C22" s="275" t="str">
        <f>IF(C19&gt;0,"Profitable","Not profitable")</f>
        <v>Profitable</v>
      </c>
      <c r="D22" s="276"/>
    </row>
  </sheetData>
  <sheetProtection algorithmName="SHA-512" hashValue="TQEe8XnIR4J6K0iQfdPleJbnwuHSxtgt10a3JwkBlN4DHuW5y9dYrl3J4y3puv9k+BImmo+L4/N1bcqNNZjaRw==" saltValue="fXQpBdZ2dfE2iOJlbSHM2A==" spinCount="100000" sheet="1" objects="1" scenarios="1"/>
  <mergeCells count="12">
    <mergeCell ref="C22:D22"/>
    <mergeCell ref="B11:C11"/>
    <mergeCell ref="B3:D3"/>
    <mergeCell ref="G9:N9"/>
    <mergeCell ref="L10:L11"/>
    <mergeCell ref="M10:M11"/>
    <mergeCell ref="N10:N11"/>
    <mergeCell ref="G10:G11"/>
    <mergeCell ref="H10:H11"/>
    <mergeCell ref="I10:I11"/>
    <mergeCell ref="J10:J11"/>
    <mergeCell ref="K10:K11"/>
  </mergeCells>
  <conditionalFormatting sqref="N8">
    <cfRule type="dataBar" priority="11">
      <dataBar>
        <cfvo type="min"/>
        <cfvo type="max"/>
        <color rgb="FF86EFAC"/>
      </dataBar>
    </cfRule>
    <cfRule type="dataBar" priority="12">
      <dataBar>
        <cfvo type="min"/>
        <cfvo type="max"/>
        <color rgb="FF86EFAC"/>
      </dataBar>
      <extLst>
        <ext xmlns:x14="http://schemas.microsoft.com/office/spreadsheetml/2009/9/main" uri="{B025F937-C7B1-47D3-B67F-A62EFF666E3E}">
          <x14:id>{A502FE81-31AE-40FE-BAB6-0FA54DDC2D67}</x14:id>
        </ext>
      </extLst>
    </cfRule>
  </conditionalFormatting>
  <conditionalFormatting sqref="R4:R7 M8">
    <cfRule type="cellIs" dxfId="1" priority="1" operator="lessThan">
      <formula>0</formula>
    </cfRule>
    <cfRule type="cellIs" dxfId="0" priority="2" operator="greaterThan">
      <formula>0</formula>
    </cfRule>
  </conditionalFormatting>
  <conditionalFormatting sqref="S4:S7">
    <cfRule type="dataBar" priority="3">
      <dataBar>
        <cfvo type="min"/>
        <cfvo type="max"/>
        <color rgb="FF86EFAC"/>
      </dataBar>
    </cfRule>
    <cfRule type="dataBar" priority="4">
      <dataBar>
        <cfvo type="min"/>
        <cfvo type="max"/>
        <color rgb="FF86EFAC"/>
      </dataBar>
      <extLst>
        <ext xmlns:x14="http://schemas.microsoft.com/office/spreadsheetml/2009/9/main" uri="{B025F937-C7B1-47D3-B67F-A62EFF666E3E}">
          <x14:id>{F0656793-BEA7-4E75-AB52-7D453FF116ED}</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A502FE81-31AE-40FE-BAB6-0FA54DDC2D67}">
            <x14:dataBar>
              <x14:cfvo type="min"/>
              <x14:cfvo type="max"/>
              <x14:negativeFillColor auto="1"/>
              <x14:axisColor auto="1"/>
            </x14:dataBar>
          </x14:cfRule>
          <xm:sqref>N8</xm:sqref>
        </x14:conditionalFormatting>
        <x14:conditionalFormatting xmlns:xm="http://schemas.microsoft.com/office/excel/2006/main">
          <x14:cfRule type="dataBar" id="{F0656793-BEA7-4E75-AB52-7D453FF116ED}">
            <x14:dataBar>
              <x14:cfvo type="min"/>
              <x14:cfvo type="max"/>
              <x14:negativeFillColor auto="1"/>
              <x14:axisColor auto="1"/>
            </x14:dataBar>
          </x14:cfRule>
          <xm:sqref>S4:S7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Liming Economic Calculator</vt:lpstr>
      <vt:lpstr>Appendix</vt:lpstr>
      <vt:lpstr>Backend Calculation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Lasisi, Ahmed AF:EX</dc:creator>
  <cp:lastModifiedBy>Lasisi, Ahmed AF:EX</cp:lastModifiedBy>
  <dcterms:created xsi:type="dcterms:W3CDTF">2026-07-21T22:35:03Z</dcterms:created>
  <dcterms:modified xsi:type="dcterms:W3CDTF">2026-09-01T22:14:10Z</dcterms:modified>
</cp:coreProperties>
</file>