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bcgov-my.sharepoint.com/personal/ahmed_lasisi_gov_bc_ca/Documents/Desktop/PROJECT/WebPage/Fertilizer calculator/"/>
    </mc:Choice>
  </mc:AlternateContent>
  <xr:revisionPtr revIDLastSave="446" documentId="8_{2E5EB18F-A665-412B-A737-2CEF99BB615D}" xr6:coauthVersionLast="47" xr6:coauthVersionMax="47" xr10:uidLastSave="{00C0D39E-D83C-4144-B943-F59DFDDC7599}"/>
  <bookViews>
    <workbookView xWindow="-108" yWindow="-108" windowWidth="23256" windowHeight="13896" xr2:uid="{00000000-000D-0000-FFFF-FFFF00000000}"/>
  </bookViews>
  <sheets>
    <sheet name="Fertilizer Cost Calculator" sheetId="2" r:id="rId1"/>
    <sheet name="BackEnd" sheetId="3" state="hidden" r:id="rId2"/>
    <sheet name="User's sheet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3" l="1"/>
  <c r="M8" i="3"/>
  <c r="M9" i="3"/>
  <c r="M10" i="3"/>
  <c r="F37" i="2"/>
  <c r="G37" i="2"/>
  <c r="H37" i="2"/>
  <c r="I37" i="2"/>
  <c r="E37" i="2"/>
  <c r="E7" i="3" l="1"/>
  <c r="F7" i="3"/>
  <c r="G7" i="3"/>
  <c r="E8" i="3"/>
  <c r="F8" i="3"/>
  <c r="G8" i="3"/>
  <c r="E9" i="3"/>
  <c r="F9" i="3"/>
  <c r="G9" i="3"/>
  <c r="E10" i="3"/>
  <c r="F10" i="3"/>
  <c r="G10" i="3"/>
  <c r="E11" i="3"/>
  <c r="F11" i="3"/>
  <c r="G11" i="3"/>
  <c r="E12" i="3"/>
  <c r="F12" i="3"/>
  <c r="G12" i="3"/>
  <c r="E13" i="3"/>
  <c r="F13" i="3"/>
  <c r="G13" i="3"/>
  <c r="E14" i="3"/>
  <c r="F14" i="3"/>
  <c r="G14" i="3"/>
  <c r="E15" i="3"/>
  <c r="F15" i="3"/>
  <c r="G15" i="3"/>
  <c r="E16" i="3"/>
  <c r="F16" i="3"/>
  <c r="G16" i="3"/>
  <c r="E17" i="3"/>
  <c r="F17" i="3"/>
  <c r="G17" i="3"/>
  <c r="E18" i="3"/>
  <c r="F18" i="3"/>
  <c r="G18" i="3"/>
  <c r="E19" i="3"/>
  <c r="F19" i="3"/>
  <c r="G19" i="3"/>
  <c r="E20" i="3"/>
  <c r="F20" i="3"/>
  <c r="G20" i="3"/>
  <c r="E21" i="3"/>
  <c r="F21" i="3"/>
  <c r="G21" i="3"/>
  <c r="E22" i="3"/>
  <c r="F22" i="3"/>
  <c r="G22" i="3"/>
  <c r="F6" i="3"/>
  <c r="G6" i="3"/>
  <c r="E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6" i="3"/>
  <c r="E23" i="3"/>
  <c r="M24" i="2" s="1"/>
  <c r="F23" i="3"/>
  <c r="N24" i="2" s="1"/>
  <c r="G23" i="3"/>
  <c r="O24" i="2" s="1"/>
  <c r="H23" i="3"/>
  <c r="P24" i="2" s="1"/>
  <c r="D23" i="3"/>
  <c r="L24" i="2" s="1"/>
  <c r="D6" i="3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7" i="2"/>
  <c r="L8" i="2" l="1"/>
  <c r="M8" i="2"/>
  <c r="N8" i="2"/>
  <c r="O8" i="2"/>
  <c r="P8" i="2"/>
  <c r="L9" i="2"/>
  <c r="M9" i="2"/>
  <c r="N9" i="2"/>
  <c r="O9" i="2"/>
  <c r="P9" i="2"/>
  <c r="L10" i="2"/>
  <c r="M10" i="2"/>
  <c r="N10" i="2"/>
  <c r="O10" i="2"/>
  <c r="P10" i="2"/>
  <c r="L11" i="2"/>
  <c r="M11" i="2"/>
  <c r="N11" i="2"/>
  <c r="O11" i="2"/>
  <c r="P11" i="2"/>
  <c r="L12" i="2"/>
  <c r="M12" i="2"/>
  <c r="N12" i="2"/>
  <c r="O12" i="2"/>
  <c r="P12" i="2"/>
  <c r="L13" i="2"/>
  <c r="M13" i="2"/>
  <c r="N13" i="2"/>
  <c r="O13" i="2"/>
  <c r="P13" i="2"/>
  <c r="L14" i="2"/>
  <c r="M14" i="2"/>
  <c r="N14" i="2"/>
  <c r="O14" i="2"/>
  <c r="P14" i="2"/>
  <c r="L15" i="2"/>
  <c r="M15" i="2"/>
  <c r="N15" i="2"/>
  <c r="O15" i="2"/>
  <c r="P15" i="2"/>
  <c r="L16" i="2"/>
  <c r="M16" i="2"/>
  <c r="N16" i="2"/>
  <c r="O16" i="2"/>
  <c r="P16" i="2"/>
  <c r="L17" i="2"/>
  <c r="M17" i="2"/>
  <c r="N17" i="2"/>
  <c r="O17" i="2"/>
  <c r="P17" i="2"/>
  <c r="L18" i="2"/>
  <c r="M18" i="2"/>
  <c r="N18" i="2"/>
  <c r="O18" i="2"/>
  <c r="P18" i="2"/>
  <c r="L19" i="2"/>
  <c r="M19" i="2"/>
  <c r="N19" i="2"/>
  <c r="O19" i="2"/>
  <c r="P19" i="2"/>
  <c r="L20" i="2"/>
  <c r="M20" i="2"/>
  <c r="N20" i="2"/>
  <c r="O20" i="2"/>
  <c r="P20" i="2"/>
  <c r="L21" i="2"/>
  <c r="M21" i="2"/>
  <c r="N21" i="2"/>
  <c r="O21" i="2"/>
  <c r="P21" i="2"/>
  <c r="L22" i="2"/>
  <c r="M22" i="2"/>
  <c r="N22" i="2"/>
  <c r="O22" i="2"/>
  <c r="P22" i="2"/>
  <c r="L23" i="2"/>
  <c r="M23" i="2"/>
  <c r="N23" i="2"/>
  <c r="O23" i="2"/>
  <c r="P23" i="2"/>
  <c r="P3" i="3"/>
  <c r="Q3" i="3"/>
  <c r="R3" i="3"/>
  <c r="S3" i="3"/>
  <c r="O3" i="3"/>
  <c r="T3" i="3"/>
  <c r="L7" i="2" l="1"/>
  <c r="V2" i="3" a="1"/>
  <c r="V2" i="3" s="1"/>
  <c r="U2" i="3"/>
  <c r="N15" i="3" l="1"/>
  <c r="C40" i="2" s="1"/>
  <c r="M6" i="3"/>
  <c r="L7" i="3"/>
  <c r="L8" i="3"/>
  <c r="L9" i="3"/>
  <c r="L10" i="3"/>
  <c r="L6" i="3"/>
  <c r="P7" i="2"/>
  <c r="O7" i="2"/>
  <c r="N7" i="2"/>
  <c r="M7" i="2"/>
  <c r="R9" i="3" l="1"/>
  <c r="H30" i="2" s="1"/>
  <c r="S9" i="3"/>
  <c r="I30" i="2" s="1"/>
  <c r="O9" i="3"/>
  <c r="E30" i="2" s="1"/>
  <c r="Q9" i="3"/>
  <c r="G30" i="2" s="1"/>
  <c r="P9" i="3"/>
  <c r="F30" i="2" s="1"/>
  <c r="Q10" i="3"/>
  <c r="G31" i="2" s="1"/>
  <c r="S10" i="3"/>
  <c r="I31" i="2" s="1"/>
  <c r="O10" i="3"/>
  <c r="E31" i="2" s="1"/>
  <c r="P10" i="3"/>
  <c r="F31" i="2" s="1"/>
  <c r="R10" i="3"/>
  <c r="H31" i="2" s="1"/>
  <c r="S8" i="3"/>
  <c r="I29" i="2" s="1"/>
  <c r="O8" i="3"/>
  <c r="E29" i="2" s="1"/>
  <c r="R8" i="3"/>
  <c r="H29" i="2" s="1"/>
  <c r="Q8" i="3"/>
  <c r="G29" i="2" s="1"/>
  <c r="P8" i="3"/>
  <c r="F29" i="2" s="1"/>
  <c r="O7" i="3"/>
  <c r="E28" i="2" s="1"/>
  <c r="R7" i="3"/>
  <c r="S7" i="3"/>
  <c r="P7" i="3"/>
  <c r="F28" i="2" s="1"/>
  <c r="Q7" i="3"/>
  <c r="O6" i="3"/>
  <c r="E27" i="2" s="1"/>
  <c r="N6" i="3"/>
  <c r="U6" i="3" s="1"/>
  <c r="S6" i="3"/>
  <c r="I27" i="2" s="1"/>
  <c r="P6" i="3"/>
  <c r="F27" i="2" s="1"/>
  <c r="R6" i="3"/>
  <c r="H27" i="2" s="1"/>
  <c r="Q6" i="3"/>
  <c r="G27" i="2" s="1"/>
  <c r="N8" i="3"/>
  <c r="U8" i="3" s="1"/>
  <c r="T8" i="3"/>
  <c r="J29" i="2" s="1"/>
  <c r="T7" i="3"/>
  <c r="J28" i="2" s="1"/>
  <c r="N7" i="3"/>
  <c r="U7" i="3" s="1"/>
  <c r="T6" i="3"/>
  <c r="N10" i="3"/>
  <c r="D31" i="2" s="1"/>
  <c r="T10" i="3"/>
  <c r="J31" i="2" s="1"/>
  <c r="N9" i="3"/>
  <c r="U9" i="3" s="1"/>
  <c r="T9" i="3"/>
  <c r="J30" i="2" s="1"/>
  <c r="M11" i="3"/>
  <c r="Q13" i="3" l="1"/>
  <c r="Q14" i="3" s="1"/>
  <c r="Q15" i="3" s="1" a="1"/>
  <c r="Q15" i="3" s="1"/>
  <c r="G39" i="2" s="1"/>
  <c r="D28" i="2"/>
  <c r="D30" i="2"/>
  <c r="L17" i="3" s="1"/>
  <c r="E41" i="2" s="1"/>
  <c r="P13" i="3"/>
  <c r="P14" i="3" s="1"/>
  <c r="P15" i="3" s="1" a="1"/>
  <c r="P15" i="3" s="1"/>
  <c r="F39" i="2" s="1"/>
  <c r="O13" i="3"/>
  <c r="O14" i="3" s="1"/>
  <c r="O15" i="3" s="1" a="1"/>
  <c r="O15" i="3" s="1"/>
  <c r="E39" i="2" s="1"/>
  <c r="S13" i="3"/>
  <c r="G28" i="2"/>
  <c r="U10" i="3"/>
  <c r="M12" i="3"/>
  <c r="C32" i="2" s="1"/>
  <c r="T11" i="3"/>
  <c r="R13" i="3"/>
  <c r="R14" i="3" s="1"/>
  <c r="R15" i="3" s="1" a="1"/>
  <c r="R15" i="3" s="1"/>
  <c r="H39" i="2" s="1"/>
  <c r="N11" i="3"/>
  <c r="N12" i="3" s="1"/>
  <c r="C41" i="2" s="1"/>
  <c r="D29" i="2"/>
  <c r="D27" i="2"/>
  <c r="J27" i="2"/>
  <c r="W2" i="3" l="1" a="1"/>
  <c r="W2" i="3" s="1"/>
  <c r="X2" i="3" s="1"/>
  <c r="O27" i="2" s="1"/>
  <c r="G36" i="2"/>
  <c r="F36" i="2"/>
  <c r="E36" i="2"/>
  <c r="I36" i="2"/>
  <c r="S14" i="3"/>
  <c r="S15" i="3" s="1" a="1"/>
  <c r="S15" i="3" s="1"/>
  <c r="I39" i="2" s="1"/>
  <c r="H36" i="2"/>
  <c r="T12" i="3"/>
  <c r="J32" i="2" s="1"/>
  <c r="U11" i="3"/>
  <c r="C42" i="2" s="1"/>
  <c r="E38" i="2"/>
  <c r="H38" i="2"/>
  <c r="G38" i="2"/>
  <c r="F38" i="2"/>
  <c r="H28" i="2"/>
  <c r="I28" i="2"/>
  <c r="I38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<sst xmlns="http://schemas.openxmlformats.org/spreadsheetml/2006/main" count="106" uniqueCount="68">
  <si>
    <t>Fertilizer Cost Calculator</t>
  </si>
  <si>
    <t>STEP 1</t>
  </si>
  <si>
    <t>Nutrient Requirements (lb/ac)</t>
  </si>
  <si>
    <t>N</t>
  </si>
  <si>
    <r>
      <t>P</t>
    </r>
    <r>
      <rPr>
        <b/>
        <vertAlign val="subscript"/>
        <sz val="11"/>
        <color theme="1"/>
        <rFont val="BC Sans"/>
      </rPr>
      <t>2</t>
    </r>
    <r>
      <rPr>
        <b/>
        <sz val="11"/>
        <color theme="1"/>
        <rFont val="BC Sans"/>
      </rPr>
      <t>O</t>
    </r>
    <r>
      <rPr>
        <b/>
        <vertAlign val="subscript"/>
        <sz val="11"/>
        <color theme="1"/>
        <rFont val="BC Sans"/>
      </rPr>
      <t>5</t>
    </r>
  </si>
  <si>
    <r>
      <t>K</t>
    </r>
    <r>
      <rPr>
        <b/>
        <vertAlign val="subscript"/>
        <sz val="11"/>
        <color theme="1"/>
        <rFont val="BC Sans"/>
      </rPr>
      <t>2</t>
    </r>
    <r>
      <rPr>
        <b/>
        <sz val="11"/>
        <color theme="1"/>
        <rFont val="BC Sans"/>
      </rPr>
      <t>O</t>
    </r>
  </si>
  <si>
    <t>S</t>
  </si>
  <si>
    <t>Ca</t>
  </si>
  <si>
    <t>Field size (ac)</t>
  </si>
  <si>
    <t>Price ($/lb of nutrient)</t>
  </si>
  <si>
    <t>STEP 2</t>
  </si>
  <si>
    <t>Products</t>
  </si>
  <si>
    <t>Urea (46-0-0)</t>
  </si>
  <si>
    <t>Urea ammonium nitrate (28-0-0)</t>
  </si>
  <si>
    <t>Anhydrous ammonia (82-0-0)</t>
  </si>
  <si>
    <t>Ammonium nitrate (34-0-0)</t>
  </si>
  <si>
    <t>ESN (44-0-0)</t>
  </si>
  <si>
    <t>Calcium ammonium nitrate (27-0-0-8Ca)</t>
  </si>
  <si>
    <t>Triple superphosphate, TSP (0-46-0)</t>
  </si>
  <si>
    <t>Di-ammonium phosphate, DAP (18-46-0)</t>
  </si>
  <si>
    <t>Muriate of potash, KCl (0-0-60)</t>
  </si>
  <si>
    <t>Ammonium sulphate (21-0-0-24)</t>
  </si>
  <si>
    <t>Elemental sulphur (0-0-0-90)</t>
  </si>
  <si>
    <t>Gypsum (0-0-0-18S-23Ca)</t>
  </si>
  <si>
    <t>Potassium sulphate (0-0-50-18S)</t>
  </si>
  <si>
    <t>Custom 1</t>
  </si>
  <si>
    <t>Custom 2</t>
  </si>
  <si>
    <t>Custom 3</t>
  </si>
  <si>
    <t>STEP 3</t>
  </si>
  <si>
    <t>Select Product</t>
  </si>
  <si>
    <t>Product Rate (lb/ac)</t>
  </si>
  <si>
    <t>Cost ($/ac)</t>
  </si>
  <si>
    <t>Available Nutrients per Product (lb/ac)</t>
  </si>
  <si>
    <t>STEP 4</t>
  </si>
  <si>
    <t>Summary of Cost and Nutrient Applied</t>
  </si>
  <si>
    <t>Number of products selected</t>
  </si>
  <si>
    <t>Field size</t>
  </si>
  <si>
    <t>Price per lb of Nutrient</t>
  </si>
  <si>
    <t>Available Nutrients Per Product (lb/ac)</t>
  </si>
  <si>
    <t>Total Fertilizer Required per Field (ton)</t>
  </si>
  <si>
    <t>Total cost field</t>
  </si>
  <si>
    <t>Total</t>
  </si>
  <si>
    <t>Total supplied</t>
  </si>
  <si>
    <t>Balance</t>
  </si>
  <si>
    <t>Products selected</t>
  </si>
  <si>
    <t>Price   ($/tonne)</t>
  </si>
  <si>
    <t>Price      ($/lb)</t>
  </si>
  <si>
    <t>Mono-ammonium phosphate, MAP (11-52-0)</t>
  </si>
  <si>
    <t>Field name</t>
  </si>
  <si>
    <t>Happy Berry</t>
  </si>
  <si>
    <t>Crop Nutrient Requirements (lb/ac)</t>
  </si>
  <si>
    <t>Total nutrient supplied (lb/ac)</t>
  </si>
  <si>
    <t>Nutrient requirement (lb/ac)</t>
  </si>
  <si>
    <t>Nutrient balance (lb/ac)</t>
  </si>
  <si>
    <t>Total fertilizer cost for field</t>
  </si>
  <si>
    <t>Fertilizer cost</t>
  </si>
  <si>
    <t>% N</t>
  </si>
  <si>
    <r>
      <t>% P</t>
    </r>
    <r>
      <rPr>
        <b/>
        <vertAlign val="subscript"/>
        <sz val="11"/>
        <color theme="1"/>
        <rFont val="BC Sans"/>
      </rPr>
      <t>2</t>
    </r>
    <r>
      <rPr>
        <b/>
        <sz val="11"/>
        <color theme="1"/>
        <rFont val="BC Sans"/>
      </rPr>
      <t>O</t>
    </r>
    <r>
      <rPr>
        <b/>
        <vertAlign val="subscript"/>
        <sz val="11"/>
        <color theme="1"/>
        <rFont val="BC Sans"/>
      </rPr>
      <t>5</t>
    </r>
  </si>
  <si>
    <r>
      <t>% K</t>
    </r>
    <r>
      <rPr>
        <b/>
        <vertAlign val="subscript"/>
        <sz val="11"/>
        <color theme="1"/>
        <rFont val="BC Sans"/>
      </rPr>
      <t>2</t>
    </r>
    <r>
      <rPr>
        <b/>
        <sz val="11"/>
        <color theme="1"/>
        <rFont val="BC Sans"/>
      </rPr>
      <t>O</t>
    </r>
  </si>
  <si>
    <t>% S</t>
  </si>
  <si>
    <t>% Ca</t>
  </si>
  <si>
    <t>You can only edit or select dropdown from this type of cell</t>
  </si>
  <si>
    <t>Total Amount of Fertilizer for Field (tonnes)</t>
  </si>
  <si>
    <t>How much product do I need (lb/ac)?</t>
  </si>
  <si>
    <t>Fertilizer application rate</t>
  </si>
  <si>
    <t>K2O</t>
  </si>
  <si>
    <t>Use this sheet to record your information, if applicable</t>
  </si>
  <si>
    <t>If the calculator gives you any error or weird results, please reachout to ahmed.lasisi@gov.bc.ca or AgriServicebc@gov.bc.ca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</si>
</sst>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&quot;$&quot;* #,##0.00_-;\-&quot;$&quot;* #,##0.00_-;_-&quot;$&quot;* &quot;-&quot;??_-;_-@_-"/>
    <numFmt numFmtId="164" formatCode="\$0.00"/>
    <numFmt numFmtId="165" formatCode="0.0"/>
  </numFmts>
  <fonts count="14">
    <font>
      <sz val="11"/>
      <name val="Carlito"/>
    </font>
    <font>
      <sz val="8"/>
      <name val="Carlito"/>
    </font>
    <font>
      <sz val="11"/>
      <color theme="1"/>
      <name val="BC Sans"/>
    </font>
    <font>
      <b/>
      <sz val="11"/>
      <color theme="1"/>
      <name val="BC Sans"/>
    </font>
    <font>
      <b/>
      <vertAlign val="subscript"/>
      <sz val="11"/>
      <color theme="1"/>
      <name val="BC Sans"/>
    </font>
    <font>
      <sz val="11"/>
      <name val="Carlito"/>
    </font>
    <font>
      <sz val="14"/>
      <color theme="1"/>
      <name val="BC Sans"/>
    </font>
    <font>
      <b/>
      <sz val="20"/>
      <color theme="1"/>
      <name val="BC Sans"/>
    </font>
    <font>
      <b/>
      <sz val="16"/>
      <color rgb="FFFF0000"/>
      <name val="BC Sans"/>
    </font>
    <font>
      <b/>
      <sz val="15"/>
      <color theme="9" tint="-0.249977111117893"/>
      <name val="Arial Black"/>
      <family val="2"/>
    </font>
    <font>
      <b/>
      <sz val="15"/>
      <color rgb="FFFF0000"/>
      <name val="Arial Black"/>
      <family val="2"/>
    </font>
    <font>
      <b/>
      <sz val="11"/>
      <name val="Arial Black"/>
      <family val="2"/>
    </font>
    <font>
      <sz val="12"/>
      <name val="Carlito"/>
    </font>
    <font>
      <sz val="12"/>
      <color rgb="FF0000FF"/>
      <name val="Carlito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 tint="0.34998626667073579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212">
    <xf numFmtId="0" fontId="0" fillId="0" borderId="0" xfId="0"/>
    <xf numFmtId="0" fontId="2" fillId="0" borderId="1" xfId="0" applyFont="1" applyBorder="1" applyProtection="1">
      <protection locked="0"/>
    </xf>
    <xf numFmtId="0" fontId="2" fillId="8" borderId="1" xfId="0" applyFont="1" applyFill="1" applyBorder="1" applyProtection="1">
      <protection locked="0"/>
    </xf>
    <xf numFmtId="0" fontId="3" fillId="5" borderId="1" xfId="0" applyFont="1" applyFill="1" applyBorder="1" applyAlignment="1">
      <alignment horizontal="center" vertical="center"/>
    </xf>
    <xf numFmtId="44" fontId="2" fillId="0" borderId="1" xfId="1" applyFont="1" applyBorder="1" applyProtection="1"/>
    <xf numFmtId="44" fontId="2" fillId="0" borderId="9" xfId="1" applyFont="1" applyBorder="1" applyProtection="1"/>
    <xf numFmtId="2" fontId="2" fillId="8" borderId="1" xfId="0" applyNumberFormat="1" applyFont="1" applyFill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165" fontId="2" fillId="8" borderId="1" xfId="0" applyNumberFormat="1" applyFont="1" applyFill="1" applyBorder="1" applyAlignment="1" applyProtection="1">
      <alignment horizontal="left"/>
      <protection locked="0"/>
    </xf>
    <xf numFmtId="165" fontId="2" fillId="5" borderId="1" xfId="0" applyNumberFormat="1" applyFont="1" applyFill="1" applyBorder="1"/>
    <xf numFmtId="0" fontId="2" fillId="5" borderId="1" xfId="0" applyFont="1" applyFill="1" applyBorder="1"/>
    <xf numFmtId="0" fontId="0" fillId="5" borderId="1" xfId="0" applyFill="1" applyBorder="1"/>
    <xf numFmtId="164" fontId="2" fillId="5" borderId="1" xfId="0" applyNumberFormat="1" applyFont="1" applyFill="1" applyBorder="1"/>
    <xf numFmtId="164" fontId="0" fillId="5" borderId="1" xfId="0" applyNumberFormat="1" applyFill="1" applyBorder="1"/>
    <xf numFmtId="0" fontId="2" fillId="5" borderId="1" xfId="0" applyFont="1" applyFill="1" applyBorder="1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22" xfId="0" applyBorder="1"/>
    <xf numFmtId="0" fontId="0" fillId="5" borderId="9" xfId="0" applyFill="1" applyBorder="1"/>
    <xf numFmtId="0" fontId="2" fillId="5" borderId="9" xfId="0" applyFont="1" applyFill="1" applyBorder="1"/>
    <xf numFmtId="0" fontId="2" fillId="5" borderId="11" xfId="0" applyFont="1" applyFill="1" applyBorder="1"/>
    <xf numFmtId="0" fontId="0" fillId="5" borderId="12" xfId="0" applyFill="1" applyBorder="1"/>
    <xf numFmtId="0" fontId="2" fillId="5" borderId="12" xfId="0" applyFont="1" applyFill="1" applyBorder="1"/>
    <xf numFmtId="0" fontId="0" fillId="0" borderId="5" xfId="0" applyBorder="1"/>
    <xf numFmtId="0" fontId="0" fillId="7" borderId="14" xfId="0" applyFill="1" applyBorder="1"/>
    <xf numFmtId="0" fontId="0" fillId="7" borderId="15" xfId="0" applyFill="1" applyBorder="1"/>
    <xf numFmtId="0" fontId="0" fillId="7" borderId="9" xfId="0" applyFill="1" applyBorder="1"/>
    <xf numFmtId="0" fontId="0" fillId="7" borderId="1" xfId="0" applyFill="1" applyBorder="1"/>
    <xf numFmtId="0" fontId="3" fillId="7" borderId="1" xfId="0" applyFont="1" applyFill="1" applyBorder="1"/>
    <xf numFmtId="1" fontId="2" fillId="7" borderId="1" xfId="0" applyNumberFormat="1" applyFont="1" applyFill="1" applyBorder="1" applyProtection="1">
      <protection locked="0"/>
    </xf>
    <xf numFmtId="0" fontId="2" fillId="9" borderId="1" xfId="0" applyFont="1" applyFill="1" applyBorder="1" applyProtection="1">
      <protection locked="0"/>
    </xf>
    <xf numFmtId="2" fontId="0" fillId="5" borderId="1" xfId="0" applyNumberFormat="1" applyFill="1" applyBorder="1"/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1" fontId="2" fillId="8" borderId="1" xfId="0" applyNumberFormat="1" applyFont="1" applyFill="1" applyBorder="1" applyAlignment="1" applyProtection="1">
      <alignment horizontal="left"/>
      <protection locked="0"/>
    </xf>
    <xf numFmtId="44" fontId="2" fillId="8" borderId="1" xfId="0" applyNumberFormat="1" applyFont="1" applyFill="1" applyBorder="1" applyAlignment="1" applyProtection="1">
      <alignment horizontal="left"/>
      <protection locked="0"/>
    </xf>
    <xf numFmtId="0" fontId="2" fillId="8" borderId="1" xfId="0" applyFont="1" applyFill="1" applyBorder="1" applyAlignment="1" applyProtection="1">
      <alignment horizontal="left"/>
      <protection locked="0"/>
    </xf>
    <xf numFmtId="0" fontId="2" fillId="9" borderId="1" xfId="0" applyFont="1" applyFill="1" applyBorder="1" applyAlignment="1" applyProtection="1">
      <alignment horizontal="left"/>
      <protection locked="0"/>
    </xf>
    <xf numFmtId="0" fontId="3" fillId="7" borderId="2" xfId="0" applyFont="1" applyFill="1" applyBorder="1"/>
    <xf numFmtId="1" fontId="2" fillId="7" borderId="2" xfId="0" applyNumberFormat="1" applyFont="1" applyFill="1" applyBorder="1" applyProtection="1">
      <protection locked="0"/>
    </xf>
    <xf numFmtId="0" fontId="3" fillId="5" borderId="2" xfId="0" applyFont="1" applyFill="1" applyBorder="1" applyAlignment="1">
      <alignment horizontal="center" vertical="center"/>
    </xf>
    <xf numFmtId="165" fontId="2" fillId="5" borderId="2" xfId="0" applyNumberFormat="1" applyFont="1" applyFill="1" applyBorder="1"/>
    <xf numFmtId="0" fontId="0" fillId="5" borderId="2" xfId="0" applyFill="1" applyBorder="1"/>
    <xf numFmtId="0" fontId="0" fillId="5" borderId="32" xfId="0" applyFill="1" applyBorder="1"/>
    <xf numFmtId="0" fontId="0" fillId="3" borderId="14" xfId="0" applyFill="1" applyBorder="1"/>
    <xf numFmtId="0" fontId="0" fillId="3" borderId="15" xfId="0" applyFill="1" applyBorder="1"/>
    <xf numFmtId="0" fontId="0" fillId="3" borderId="16" xfId="0" applyFill="1" applyBorder="1"/>
    <xf numFmtId="0" fontId="0" fillId="3" borderId="9" xfId="0" applyFill="1" applyBorder="1"/>
    <xf numFmtId="0" fontId="2" fillId="3" borderId="25" xfId="0" applyFont="1" applyFill="1" applyBorder="1" applyProtection="1">
      <protection locked="0"/>
    </xf>
    <xf numFmtId="0" fontId="2" fillId="3" borderId="26" xfId="0" applyFont="1" applyFill="1" applyBorder="1" applyProtection="1">
      <protection locked="0"/>
    </xf>
    <xf numFmtId="0" fontId="0" fillId="3" borderId="27" xfId="0" applyFill="1" applyBorder="1"/>
    <xf numFmtId="0" fontId="0" fillId="3" borderId="22" xfId="0" applyFill="1" applyBorder="1"/>
    <xf numFmtId="0" fontId="0" fillId="3" borderId="34" xfId="0" applyFill="1" applyBorder="1"/>
    <xf numFmtId="0" fontId="0" fillId="3" borderId="1" xfId="0" applyFill="1" applyBorder="1"/>
    <xf numFmtId="0" fontId="0" fillId="3" borderId="10" xfId="0" applyFill="1" applyBorder="1"/>
    <xf numFmtId="2" fontId="0" fillId="3" borderId="9" xfId="0" applyNumberFormat="1" applyFill="1" applyBorder="1"/>
    <xf numFmtId="44" fontId="0" fillId="3" borderId="1" xfId="1" applyFont="1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44" fontId="2" fillId="0" borderId="29" xfId="1" applyFont="1" applyBorder="1" applyProtection="1"/>
    <xf numFmtId="44" fontId="2" fillId="0" borderId="11" xfId="1" applyFont="1" applyBorder="1" applyProtection="1"/>
    <xf numFmtId="44" fontId="2" fillId="0" borderId="1" xfId="1" applyFont="1" applyBorder="1" applyAlignment="1" applyProtection="1">
      <alignment horizontal="left"/>
    </xf>
    <xf numFmtId="44" fontId="2" fillId="0" borderId="10" xfId="1" applyFont="1" applyBorder="1" applyProtection="1"/>
    <xf numFmtId="44" fontId="2" fillId="12" borderId="1" xfId="1" applyFont="1" applyFill="1" applyBorder="1" applyProtection="1"/>
    <xf numFmtId="44" fontId="2" fillId="12" borderId="10" xfId="1" applyFont="1" applyFill="1" applyBorder="1" applyProtection="1"/>
    <xf numFmtId="0" fontId="3" fillId="9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12" borderId="45" xfId="0" applyFont="1" applyFill="1" applyBorder="1" applyAlignment="1" applyProtection="1">
      <alignment vertical="center" wrapText="1"/>
      <protection locked="0"/>
    </xf>
    <xf numFmtId="0" fontId="2" fillId="12" borderId="12" xfId="0" applyFont="1" applyFill="1" applyBorder="1" applyProtection="1">
      <protection locked="0"/>
    </xf>
    <xf numFmtId="0" fontId="3" fillId="12" borderId="41" xfId="0" applyFont="1" applyFill="1" applyBorder="1" applyAlignment="1" applyProtection="1">
      <alignment horizontal="center" vertical="center" wrapText="1"/>
      <protection locked="0"/>
    </xf>
    <xf numFmtId="0" fontId="2" fillId="9" borderId="1" xfId="0" applyFont="1" applyFill="1" applyBorder="1"/>
    <xf numFmtId="0" fontId="2" fillId="9" borderId="4" xfId="0" applyFont="1" applyFill="1" applyBorder="1"/>
    <xf numFmtId="0" fontId="3" fillId="11" borderId="15" xfId="0" applyFont="1" applyFill="1" applyBorder="1" applyAlignment="1">
      <alignment horizontal="center" vertical="center"/>
    </xf>
    <xf numFmtId="0" fontId="3" fillId="11" borderId="16" xfId="0" applyFont="1" applyFill="1" applyBorder="1" applyAlignment="1">
      <alignment horizontal="center" vertical="center"/>
    </xf>
    <xf numFmtId="0" fontId="2" fillId="9" borderId="15" xfId="0" applyFont="1" applyFill="1" applyBorder="1"/>
    <xf numFmtId="0" fontId="2" fillId="9" borderId="16" xfId="0" applyFont="1" applyFill="1" applyBorder="1"/>
    <xf numFmtId="0" fontId="6" fillId="9" borderId="10" xfId="0" applyFont="1" applyFill="1" applyBorder="1" applyAlignment="1">
      <alignment vertical="center" wrapText="1"/>
    </xf>
    <xf numFmtId="0" fontId="2" fillId="9" borderId="10" xfId="0" applyFont="1" applyFill="1" applyBorder="1"/>
    <xf numFmtId="0" fontId="2" fillId="9" borderId="12" xfId="0" applyFont="1" applyFill="1" applyBorder="1"/>
    <xf numFmtId="0" fontId="2" fillId="9" borderId="13" xfId="0" applyFont="1" applyFill="1" applyBorder="1"/>
    <xf numFmtId="2" fontId="2" fillId="9" borderId="12" xfId="0" applyNumberFormat="1" applyFont="1" applyFill="1" applyBorder="1"/>
    <xf numFmtId="0" fontId="2" fillId="12" borderId="36" xfId="0" applyFont="1" applyFill="1" applyBorder="1"/>
    <xf numFmtId="0" fontId="2" fillId="12" borderId="6" xfId="0" applyFont="1" applyFill="1" applyBorder="1"/>
    <xf numFmtId="2" fontId="2" fillId="12" borderId="6" xfId="0" applyNumberFormat="1" applyFont="1" applyFill="1" applyBorder="1"/>
    <xf numFmtId="0" fontId="2" fillId="12" borderId="33" xfId="0" applyFont="1" applyFill="1" applyBorder="1"/>
    <xf numFmtId="44" fontId="2" fillId="9" borderId="17" xfId="0" applyNumberFormat="1" applyFont="1" applyFill="1" applyBorder="1"/>
    <xf numFmtId="0" fontId="2" fillId="9" borderId="22" xfId="0" applyFont="1" applyFill="1" applyBorder="1"/>
    <xf numFmtId="0" fontId="2" fillId="9" borderId="1" xfId="0" applyFont="1" applyFill="1" applyBorder="1" applyAlignment="1">
      <alignment wrapText="1"/>
    </xf>
    <xf numFmtId="0" fontId="2" fillId="9" borderId="1" xfId="0" applyFont="1" applyFill="1" applyBorder="1" applyAlignment="1">
      <alignment horizontal="center" wrapText="1"/>
    </xf>
    <xf numFmtId="0" fontId="2" fillId="12" borderId="4" xfId="0" applyFont="1" applyFill="1" applyBorder="1"/>
    <xf numFmtId="0" fontId="2" fillId="12" borderId="1" xfId="0" applyFont="1" applyFill="1" applyBorder="1"/>
    <xf numFmtId="0" fontId="3" fillId="12" borderId="6" xfId="0" applyFont="1" applyFill="1" applyBorder="1"/>
    <xf numFmtId="2" fontId="3" fillId="12" borderId="6" xfId="0" applyNumberFormat="1" applyFont="1" applyFill="1" applyBorder="1" applyAlignment="1">
      <alignment horizontal="left"/>
    </xf>
    <xf numFmtId="0" fontId="2" fillId="12" borderId="6" xfId="0" applyFont="1" applyFill="1" applyBorder="1" applyAlignment="1">
      <alignment horizontal="left"/>
    </xf>
    <xf numFmtId="0" fontId="3" fillId="6" borderId="15" xfId="0" applyFont="1" applyFill="1" applyBorder="1" applyAlignment="1">
      <alignment horizontal="center"/>
    </xf>
    <xf numFmtId="0" fontId="2" fillId="3" borderId="16" xfId="0" applyFont="1" applyFill="1" applyBorder="1"/>
    <xf numFmtId="0" fontId="3" fillId="6" borderId="1" xfId="0" applyFont="1" applyFill="1" applyBorder="1"/>
    <xf numFmtId="0" fontId="3" fillId="6" borderId="1" xfId="0" applyFont="1" applyFill="1" applyBorder="1" applyAlignment="1">
      <alignment horizontal="left"/>
    </xf>
    <xf numFmtId="0" fontId="3" fillId="6" borderId="1" xfId="0" applyFont="1" applyFill="1" applyBorder="1" applyAlignment="1">
      <alignment horizontal="left" vertical="center"/>
    </xf>
    <xf numFmtId="0" fontId="2" fillId="3" borderId="10" xfId="0" applyFont="1" applyFill="1" applyBorder="1"/>
    <xf numFmtId="0" fontId="2" fillId="0" borderId="1" xfId="0" applyFont="1" applyBorder="1"/>
    <xf numFmtId="0" fontId="2" fillId="0" borderId="1" xfId="0" applyFont="1" applyBorder="1" applyAlignment="1">
      <alignment horizontal="left"/>
    </xf>
    <xf numFmtId="165" fontId="2" fillId="0" borderId="1" xfId="0" applyNumberFormat="1" applyFont="1" applyBorder="1" applyAlignment="1">
      <alignment horizontal="left"/>
    </xf>
    <xf numFmtId="0" fontId="2" fillId="0" borderId="5" xfId="0" applyFont="1" applyBorder="1"/>
    <xf numFmtId="0" fontId="2" fillId="0" borderId="5" xfId="0" applyFont="1" applyBorder="1" applyAlignment="1">
      <alignment horizontal="left"/>
    </xf>
    <xf numFmtId="0" fontId="7" fillId="2" borderId="20" xfId="0" applyFont="1" applyFill="1" applyBorder="1" applyAlignment="1">
      <alignment horizontal="left" vertical="center"/>
    </xf>
    <xf numFmtId="0" fontId="7" fillId="2" borderId="25" xfId="0" applyFont="1" applyFill="1" applyBorder="1" applyAlignment="1">
      <alignment vertical="center" wrapText="1"/>
    </xf>
    <xf numFmtId="0" fontId="2" fillId="12" borderId="24" xfId="0" applyFont="1" applyFill="1" applyBorder="1"/>
    <xf numFmtId="0" fontId="2" fillId="12" borderId="24" xfId="0" applyFont="1" applyFill="1" applyBorder="1" applyAlignment="1">
      <alignment horizontal="left"/>
    </xf>
    <xf numFmtId="0" fontId="2" fillId="12" borderId="12" xfId="0" applyFont="1" applyFill="1" applyBorder="1" applyAlignment="1">
      <alignment horizontal="left"/>
    </xf>
    <xf numFmtId="0" fontId="2" fillId="12" borderId="13" xfId="0" applyFont="1" applyFill="1" applyBorder="1"/>
    <xf numFmtId="0" fontId="2" fillId="9" borderId="22" xfId="0" applyFont="1" applyFill="1" applyBorder="1" applyAlignment="1">
      <alignment horizontal="left"/>
    </xf>
    <xf numFmtId="0" fontId="2" fillId="9" borderId="1" xfId="0" applyFont="1" applyFill="1" applyBorder="1" applyAlignment="1">
      <alignment horizontal="left"/>
    </xf>
    <xf numFmtId="0" fontId="2" fillId="12" borderId="12" xfId="0" applyFont="1" applyFill="1" applyBorder="1"/>
    <xf numFmtId="0" fontId="3" fillId="5" borderId="1" xfId="0" applyFont="1" applyFill="1" applyBorder="1" applyAlignment="1">
      <alignment horizontal="left" vertical="center"/>
    </xf>
    <xf numFmtId="0" fontId="2" fillId="3" borderId="15" xfId="0" applyFont="1" applyFill="1" applyBorder="1"/>
    <xf numFmtId="0" fontId="2" fillId="3" borderId="1" xfId="0" applyFont="1" applyFill="1" applyBorder="1"/>
    <xf numFmtId="2" fontId="2" fillId="0" borderId="1" xfId="0" applyNumberFormat="1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2" fontId="3" fillId="0" borderId="12" xfId="0" applyNumberFormat="1" applyFont="1" applyBorder="1" applyAlignment="1">
      <alignment horizontal="left"/>
    </xf>
    <xf numFmtId="0" fontId="2" fillId="3" borderId="12" xfId="0" applyFont="1" applyFill="1" applyBorder="1"/>
    <xf numFmtId="0" fontId="3" fillId="0" borderId="12" xfId="0" applyFont="1" applyBorder="1"/>
    <xf numFmtId="0" fontId="3" fillId="11" borderId="15" xfId="0" applyFont="1" applyFill="1" applyBorder="1" applyAlignment="1">
      <alignment horizontal="left" vertical="top" wrapText="1"/>
    </xf>
    <xf numFmtId="0" fontId="3" fillId="11" borderId="15" xfId="0" applyFont="1" applyFill="1" applyBorder="1" applyAlignment="1">
      <alignment horizontal="left" vertical="center"/>
    </xf>
    <xf numFmtId="44" fontId="2" fillId="0" borderId="1" xfId="0" applyNumberFormat="1" applyFont="1" applyBorder="1" applyAlignment="1">
      <alignment horizontal="left"/>
    </xf>
    <xf numFmtId="0" fontId="2" fillId="3" borderId="5" xfId="0" applyFont="1" applyFill="1" applyBorder="1"/>
    <xf numFmtId="0" fontId="2" fillId="12" borderId="23" xfId="0" applyFont="1" applyFill="1" applyBorder="1"/>
    <xf numFmtId="0" fontId="2" fillId="11" borderId="15" xfId="0" applyFont="1" applyFill="1" applyBorder="1"/>
    <xf numFmtId="0" fontId="2" fillId="12" borderId="19" xfId="0" applyFont="1" applyFill="1" applyBorder="1"/>
    <xf numFmtId="0" fontId="2" fillId="12" borderId="5" xfId="0" applyFont="1" applyFill="1" applyBorder="1" applyAlignment="1">
      <alignment horizontal="left"/>
    </xf>
    <xf numFmtId="0" fontId="10" fillId="10" borderId="36" xfId="0" applyFont="1" applyFill="1" applyBorder="1" applyAlignment="1">
      <alignment vertical="center"/>
    </xf>
    <xf numFmtId="0" fontId="8" fillId="10" borderId="17" xfId="0" applyFont="1" applyFill="1" applyBorder="1" applyAlignment="1">
      <alignment vertical="center"/>
    </xf>
    <xf numFmtId="0" fontId="2" fillId="0" borderId="4" xfId="0" applyFont="1" applyBorder="1"/>
    <xf numFmtId="0" fontId="3" fillId="10" borderId="1" xfId="0" applyFont="1" applyFill="1" applyBorder="1" applyAlignment="1">
      <alignment horizontal="left"/>
    </xf>
    <xf numFmtId="0" fontId="3" fillId="10" borderId="15" xfId="0" applyFont="1" applyFill="1" applyBorder="1" applyAlignment="1">
      <alignment horizontal="left" vertical="center"/>
    </xf>
    <xf numFmtId="0" fontId="3" fillId="12" borderId="11" xfId="0" applyFont="1" applyFill="1" applyBorder="1" applyAlignment="1">
      <alignment horizontal="center" vertical="center" wrapText="1"/>
    </xf>
    <xf numFmtId="0" fontId="3" fillId="9" borderId="22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 applyProtection="1">
      <alignment horizontal="center" vertical="center" wrapText="1"/>
      <protection locked="0"/>
    </xf>
    <xf numFmtId="0" fontId="2" fillId="8" borderId="6" xfId="0" applyFont="1" applyFill="1" applyBorder="1" applyAlignment="1" applyProtection="1">
      <alignment horizontal="center" vertical="center" wrapText="1"/>
      <protection locked="0"/>
    </xf>
    <xf numFmtId="0" fontId="2" fillId="8" borderId="22" xfId="0" applyFont="1" applyFill="1" applyBorder="1" applyAlignment="1" applyProtection="1">
      <alignment horizontal="center" vertical="center" wrapText="1"/>
      <protection locked="0"/>
    </xf>
    <xf numFmtId="2" fontId="2" fillId="2" borderId="18" xfId="0" applyNumberFormat="1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0" fontId="3" fillId="10" borderId="43" xfId="0" applyFont="1" applyFill="1" applyBorder="1" applyAlignment="1">
      <alignment horizontal="center" vertical="center" wrapText="1"/>
    </xf>
    <xf numFmtId="0" fontId="3" fillId="10" borderId="44" xfId="0" applyFont="1" applyFill="1" applyBorder="1" applyAlignment="1">
      <alignment horizontal="center" vertical="center" wrapText="1"/>
    </xf>
    <xf numFmtId="0" fontId="3" fillId="11" borderId="4" xfId="0" applyFont="1" applyFill="1" applyBorder="1" applyAlignment="1">
      <alignment horizontal="center"/>
    </xf>
    <xf numFmtId="0" fontId="3" fillId="11" borderId="1" xfId="0" applyFont="1" applyFill="1" applyBorder="1" applyAlignment="1">
      <alignment horizontal="center"/>
    </xf>
    <xf numFmtId="0" fontId="3" fillId="11" borderId="19" xfId="0" applyFont="1" applyFill="1" applyBorder="1" applyAlignment="1">
      <alignment horizontal="center"/>
    </xf>
    <xf numFmtId="0" fontId="3" fillId="11" borderId="5" xfId="0" applyFont="1" applyFill="1" applyBorder="1" applyAlignment="1">
      <alignment horizontal="center"/>
    </xf>
    <xf numFmtId="0" fontId="3" fillId="6" borderId="15" xfId="0" applyFont="1" applyFill="1" applyBorder="1" applyAlignment="1">
      <alignment horizontal="center"/>
    </xf>
    <xf numFmtId="0" fontId="3" fillId="5" borderId="15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 applyProtection="1">
      <alignment horizontal="center" wrapText="1"/>
      <protection locked="0"/>
    </xf>
    <xf numFmtId="0" fontId="3" fillId="8" borderId="22" xfId="0" applyFont="1" applyFill="1" applyBorder="1" applyAlignment="1" applyProtection="1">
      <alignment horizontal="center" wrapText="1"/>
      <protection locked="0"/>
    </xf>
    <xf numFmtId="0" fontId="3" fillId="6" borderId="7" xfId="0" applyFont="1" applyFill="1" applyBorder="1" applyAlignment="1">
      <alignment horizontal="center" vertical="center" wrapText="1"/>
    </xf>
    <xf numFmtId="0" fontId="3" fillId="6" borderId="41" xfId="0" applyFont="1" applyFill="1" applyBorder="1" applyAlignment="1">
      <alignment horizontal="center" vertical="center" wrapText="1"/>
    </xf>
    <xf numFmtId="0" fontId="3" fillId="6" borderId="42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11" borderId="35" xfId="0" applyFont="1" applyFill="1" applyBorder="1" applyAlignment="1">
      <alignment horizontal="center" vertical="center" wrapText="1"/>
    </xf>
    <xf numFmtId="0" fontId="3" fillId="11" borderId="36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4" borderId="47" xfId="0" applyFont="1" applyFill="1" applyBorder="1" applyAlignment="1">
      <alignment horizontal="center"/>
    </xf>
    <xf numFmtId="0" fontId="9" fillId="3" borderId="38" xfId="0" applyFont="1" applyFill="1" applyBorder="1" applyAlignment="1">
      <alignment horizontal="center"/>
    </xf>
    <xf numFmtId="0" fontId="9" fillId="3" borderId="18" xfId="0" applyFont="1" applyFill="1" applyBorder="1" applyAlignment="1">
      <alignment horizontal="center"/>
    </xf>
    <xf numFmtId="0" fontId="9" fillId="3" borderId="19" xfId="0" applyFont="1" applyFill="1" applyBorder="1" applyAlignment="1">
      <alignment horizontal="center"/>
    </xf>
    <xf numFmtId="164" fontId="7" fillId="2" borderId="37" xfId="0" applyNumberFormat="1" applyFont="1" applyFill="1" applyBorder="1" applyAlignment="1">
      <alignment horizontal="center" vertical="center"/>
    </xf>
    <xf numFmtId="164" fontId="7" fillId="2" borderId="40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8" borderId="38" xfId="0" applyFont="1" applyFill="1" applyBorder="1" applyAlignment="1" applyProtection="1">
      <alignment horizontal="center" vertical="center" wrapText="1"/>
      <protection locked="0"/>
    </xf>
    <xf numFmtId="0" fontId="2" fillId="8" borderId="19" xfId="0" applyFont="1" applyFill="1" applyBorder="1" applyAlignment="1" applyProtection="1">
      <alignment horizontal="center" vertical="center" wrapText="1"/>
      <protection locked="0"/>
    </xf>
    <xf numFmtId="0" fontId="2" fillId="8" borderId="33" xfId="0" applyFont="1" applyFill="1" applyBorder="1" applyAlignment="1" applyProtection="1">
      <alignment horizontal="center" vertical="center" wrapText="1"/>
      <protection locked="0"/>
    </xf>
    <xf numFmtId="0" fontId="2" fillId="8" borderId="36" xfId="0" applyFont="1" applyFill="1" applyBorder="1" applyAlignment="1" applyProtection="1">
      <alignment horizontal="center" vertical="center" wrapText="1"/>
      <protection locked="0"/>
    </xf>
    <xf numFmtId="0" fontId="2" fillId="8" borderId="39" xfId="0" applyFont="1" applyFill="1" applyBorder="1" applyAlignment="1" applyProtection="1">
      <alignment horizontal="center" vertical="center" wrapText="1"/>
      <protection locked="0"/>
    </xf>
    <xf numFmtId="0" fontId="2" fillId="8" borderId="17" xfId="0" applyFont="1" applyFill="1" applyBorder="1" applyAlignment="1" applyProtection="1">
      <alignment horizontal="center" vertical="center" wrapText="1"/>
      <protection locked="0"/>
    </xf>
    <xf numFmtId="164" fontId="7" fillId="2" borderId="30" xfId="0" applyNumberFormat="1" applyFont="1" applyFill="1" applyBorder="1" applyAlignment="1">
      <alignment horizontal="center" vertical="center"/>
    </xf>
    <xf numFmtId="164" fontId="7" fillId="2" borderId="31" xfId="0" applyNumberFormat="1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left"/>
    </xf>
    <xf numFmtId="0" fontId="3" fillId="5" borderId="15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10" borderId="15" xfId="0" applyFont="1" applyFill="1" applyBorder="1" applyAlignment="1">
      <alignment horizontal="center" vertical="center"/>
    </xf>
    <xf numFmtId="0" fontId="11" fillId="8" borderId="41" xfId="0" applyFont="1" applyFill="1" applyBorder="1" applyAlignment="1">
      <alignment horizontal="center" vertical="center" wrapText="1"/>
    </xf>
    <xf numFmtId="0" fontId="11" fillId="8" borderId="42" xfId="0" applyFont="1" applyFill="1" applyBorder="1" applyAlignment="1">
      <alignment horizontal="center" vertical="center" wrapText="1"/>
    </xf>
    <xf numFmtId="2" fontId="3" fillId="2" borderId="8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Alignment="1">
      <alignment horizontal="center" vertical="center" wrapText="1"/>
    </xf>
    <xf numFmtId="2" fontId="3" fillId="2" borderId="46" xfId="0" applyNumberFormat="1" applyFont="1" applyFill="1" applyBorder="1" applyAlignment="1">
      <alignment horizontal="center" vertical="center" wrapText="1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9" xfId="0" applyFont="1" applyFill="1" applyBorder="1" applyAlignment="1" applyProtection="1">
      <alignment horizontal="left" vertical="center" wrapText="1"/>
      <protection locked="0"/>
    </xf>
    <xf numFmtId="0" fontId="0" fillId="3" borderId="5" xfId="0" applyFill="1" applyBorder="1" applyAlignment="1">
      <alignment horizontal="center" wrapText="1"/>
    </xf>
    <xf numFmtId="0" fontId="0" fillId="3" borderId="22" xfId="0" applyFill="1" applyBorder="1" applyAlignment="1">
      <alignment horizontal="center" wrapText="1"/>
    </xf>
    <xf numFmtId="0" fontId="3" fillId="7" borderId="15" xfId="0" applyFont="1" applyFill="1" applyBorder="1" applyAlignment="1">
      <alignment horizontal="center" vertical="center"/>
    </xf>
    <xf numFmtId="0" fontId="3" fillId="7" borderId="21" xfId="0" applyFont="1" applyFill="1" applyBorder="1" applyAlignment="1">
      <alignment horizontal="center" vertical="center"/>
    </xf>
    <xf numFmtId="0" fontId="3" fillId="9" borderId="14" xfId="0" applyFont="1" applyFill="1" applyBorder="1" applyAlignment="1">
      <alignment horizontal="center"/>
    </xf>
    <xf numFmtId="0" fontId="3" fillId="9" borderId="15" xfId="0" applyFont="1" applyFill="1" applyBorder="1" applyAlignment="1">
      <alignment horizontal="center"/>
    </xf>
    <xf numFmtId="0" fontId="3" fillId="9" borderId="16" xfId="0" applyFont="1" applyFill="1" applyBorder="1" applyAlignment="1">
      <alignment horizontal="center"/>
    </xf>
    <xf numFmtId="0" fontId="3" fillId="9" borderId="28" xfId="0" applyFont="1" applyFill="1" applyBorder="1" applyAlignment="1">
      <alignment horizontal="center"/>
    </xf>
    <xf numFmtId="0" fontId="3" fillId="9" borderId="5" xfId="0" applyFont="1" applyFill="1" applyBorder="1" applyAlignment="1">
      <alignment horizontal="center"/>
    </xf>
    <xf numFmtId="0" fontId="3" fillId="9" borderId="23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12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Protection="1">
      <protection locked="0"/>
    </xf>
    <xf numFmtId="0" fontId="13" fillId="0" borderId="1" xfId="0" applyFont="1" applyBorder="1" applyAlignment="1" applyProtection="1">
      <alignment horizontal="left" vertical="center" wrapText="1"/>
    </xf>
    <xf numFmtId="0" fontId="0" fillId="0" borderId="1" xfId="0" applyBorder="1" applyProtection="1"/>
  </cellXfs>
  <cellStyles count="2">
    <cellStyle name="Currency" xfId="1" builtinId="4"/>
    <cellStyle name="Normal" xfId="0" builtinId="0"/>
  </cellStyles>
  <dxfs count="8">
    <dxf>
      <fill>
        <patternFill>
          <fgColor rgb="FF00B050"/>
          <bgColor rgb="FF00B05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C000"/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fgColor rgb="FF00B050"/>
          <bgColor rgb="FF00B05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C000"/>
          <bgColor rgb="FFFFC000"/>
        </patternFill>
      </fill>
    </dxf>
  </dxfs>
  <tableStyles count="1" defaultTableStyle="TableStyleMedium2" defaultPivotStyle="PivotStyleLight16">
    <tableStyle name="Invisible" pivot="0" table="0" count="0" xr9:uid="{065AB936-36B3-4405-B1E5-1EB774141570}"/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B81"/>
  <sheetViews>
    <sheetView tabSelected="1" zoomScale="118" zoomScaleNormal="9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5" sqref="E5"/>
    </sheetView>
  </sheetViews>
  <sheetFormatPr defaultColWidth="8.69921875" defaultRowHeight="15.6"/>
  <cols>
    <col min="1" max="1" width="6.19921875" style="69" customWidth="1"/>
    <col min="2" max="2" width="40.19921875" style="1" customWidth="1"/>
    <col min="3" max="3" width="11.69921875" style="7" customWidth="1"/>
    <col min="4" max="4" width="11.19921875" style="7" customWidth="1"/>
    <col min="5" max="6" width="8" style="7" customWidth="1"/>
    <col min="7" max="7" width="8.3984375" style="7" customWidth="1"/>
    <col min="8" max="8" width="8.09765625" style="7" customWidth="1"/>
    <col min="9" max="9" width="8.8984375" style="7" customWidth="1"/>
    <col min="10" max="10" width="18.19921875" style="7" customWidth="1"/>
    <col min="11" max="11" width="3.3984375" style="31" customWidth="1"/>
    <col min="12" max="12" width="7" style="31" customWidth="1"/>
    <col min="13" max="13" width="7.19921875" style="31" customWidth="1"/>
    <col min="14" max="14" width="7.5" style="31" customWidth="1"/>
    <col min="15" max="15" width="9.19921875" style="31" customWidth="1"/>
    <col min="16" max="16" width="7.69921875" style="31" customWidth="1"/>
    <col min="17" max="17" width="11.69921875" style="73" customWidth="1"/>
    <col min="18" max="25" width="8.69921875" style="73"/>
    <col min="26" max="54" width="8.69921875" style="31"/>
    <col min="55" max="16384" width="8.69921875" style="1"/>
  </cols>
  <sheetData>
    <row r="1" spans="1:26" ht="24.6" customHeight="1" thickBot="1">
      <c r="A1" s="170" t="s">
        <v>0</v>
      </c>
      <c r="B1" s="171"/>
      <c r="C1" s="171"/>
      <c r="D1" s="171"/>
      <c r="E1" s="171"/>
      <c r="F1" s="171"/>
      <c r="G1" s="171"/>
      <c r="H1" s="171"/>
      <c r="I1" s="171"/>
      <c r="J1" s="172"/>
      <c r="K1" s="128"/>
      <c r="L1" s="73"/>
      <c r="M1" s="73"/>
      <c r="N1" s="73"/>
      <c r="O1" s="73"/>
      <c r="P1" s="73"/>
    </row>
    <row r="2" spans="1:26" ht="21.6" customHeight="1">
      <c r="A2" s="147" t="s">
        <v>1</v>
      </c>
      <c r="B2" s="189" t="s">
        <v>61</v>
      </c>
      <c r="C2" s="133"/>
      <c r="D2" s="136" t="s">
        <v>48</v>
      </c>
      <c r="E2" s="188" t="s">
        <v>50</v>
      </c>
      <c r="F2" s="188"/>
      <c r="G2" s="188"/>
      <c r="H2" s="188"/>
      <c r="I2" s="188"/>
      <c r="J2" s="137"/>
      <c r="K2" s="98"/>
      <c r="L2" s="74"/>
      <c r="M2" s="73"/>
      <c r="N2" s="73"/>
      <c r="O2" s="73"/>
      <c r="P2" s="73"/>
    </row>
    <row r="3" spans="1:26" ht="16.95" customHeight="1">
      <c r="A3" s="148"/>
      <c r="B3" s="190"/>
      <c r="C3" s="134"/>
      <c r="D3" s="157" t="s">
        <v>49</v>
      </c>
      <c r="E3" s="136" t="s">
        <v>3</v>
      </c>
      <c r="F3" s="136" t="s">
        <v>4</v>
      </c>
      <c r="G3" s="136" t="s">
        <v>5</v>
      </c>
      <c r="H3" s="136" t="s">
        <v>6</v>
      </c>
      <c r="I3" s="136" t="s">
        <v>7</v>
      </c>
      <c r="J3" s="136" t="s">
        <v>8</v>
      </c>
      <c r="K3" s="102"/>
      <c r="L3" s="74"/>
      <c r="M3" s="73"/>
      <c r="N3" s="73"/>
      <c r="O3" s="73"/>
      <c r="P3" s="73"/>
    </row>
    <row r="4" spans="1:26" ht="16.95" customHeight="1">
      <c r="A4" s="148"/>
      <c r="B4" s="135"/>
      <c r="C4" s="104"/>
      <c r="D4" s="158"/>
      <c r="E4" s="36">
        <v>100</v>
      </c>
      <c r="F4" s="36">
        <v>40</v>
      </c>
      <c r="G4" s="36">
        <v>30</v>
      </c>
      <c r="H4" s="36">
        <v>50</v>
      </c>
      <c r="I4" s="36">
        <v>20</v>
      </c>
      <c r="J4" s="38">
        <v>30</v>
      </c>
      <c r="K4" s="102"/>
      <c r="L4" s="149" t="s">
        <v>9</v>
      </c>
      <c r="M4" s="150"/>
      <c r="N4" s="150"/>
      <c r="O4" s="150"/>
      <c r="P4" s="150"/>
    </row>
    <row r="5" spans="1:26" ht="13.8" customHeight="1" thickBot="1">
      <c r="A5" s="70"/>
      <c r="B5" s="131"/>
      <c r="C5" s="132"/>
      <c r="D5" s="132"/>
      <c r="E5" s="132"/>
      <c r="F5" s="132"/>
      <c r="G5" s="132"/>
      <c r="H5" s="132"/>
      <c r="I5" s="132"/>
      <c r="J5" s="132"/>
      <c r="K5" s="129"/>
      <c r="L5" s="151"/>
      <c r="M5" s="152"/>
      <c r="N5" s="152"/>
      <c r="O5" s="152"/>
      <c r="P5" s="152"/>
    </row>
    <row r="6" spans="1:26" ht="36" customHeight="1">
      <c r="A6" s="165" t="s">
        <v>10</v>
      </c>
      <c r="B6" s="75" t="s">
        <v>11</v>
      </c>
      <c r="C6" s="125" t="s">
        <v>45</v>
      </c>
      <c r="D6" s="125" t="s">
        <v>46</v>
      </c>
      <c r="E6" s="126" t="s">
        <v>56</v>
      </c>
      <c r="F6" s="126" t="s">
        <v>57</v>
      </c>
      <c r="G6" s="126" t="s">
        <v>58</v>
      </c>
      <c r="H6" s="126" t="s">
        <v>59</v>
      </c>
      <c r="I6" s="126" t="s">
        <v>60</v>
      </c>
      <c r="J6" s="126"/>
      <c r="K6" s="130"/>
      <c r="L6" s="75" t="s">
        <v>3</v>
      </c>
      <c r="M6" s="75" t="s">
        <v>4</v>
      </c>
      <c r="N6" s="75" t="s">
        <v>5</v>
      </c>
      <c r="O6" s="75" t="s">
        <v>6</v>
      </c>
      <c r="P6" s="76" t="s">
        <v>7</v>
      </c>
      <c r="Q6" s="74"/>
      <c r="Z6" s="73"/>
    </row>
    <row r="7" spans="1:26" ht="17.399999999999999" customHeight="1">
      <c r="A7" s="166"/>
      <c r="B7" s="103" t="s">
        <v>12</v>
      </c>
      <c r="C7" s="37">
        <v>655</v>
      </c>
      <c r="D7" s="127">
        <f>IF(C7="","",C7/2205)</f>
        <v>0.29705215419501135</v>
      </c>
      <c r="E7" s="105">
        <v>46</v>
      </c>
      <c r="F7" s="105">
        <v>0</v>
      </c>
      <c r="G7" s="105">
        <v>0</v>
      </c>
      <c r="H7" s="105">
        <v>0</v>
      </c>
      <c r="I7" s="105">
        <v>0</v>
      </c>
      <c r="J7" s="105"/>
      <c r="K7" s="119"/>
      <c r="L7" s="4">
        <f>BackEnd!D6</f>
        <v>0.64576555259785073</v>
      </c>
      <c r="M7" s="4" t="str">
        <f>BackEnd!E6</f>
        <v>-</v>
      </c>
      <c r="N7" s="4" t="str">
        <f>BackEnd!F6</f>
        <v>-</v>
      </c>
      <c r="O7" s="4" t="str">
        <f>BackEnd!G6</f>
        <v>-</v>
      </c>
      <c r="P7" s="65" t="str">
        <f>BackEnd!H6</f>
        <v>-</v>
      </c>
      <c r="Q7" s="74"/>
    </row>
    <row r="8" spans="1:26" ht="17.399999999999999" customHeight="1">
      <c r="A8" s="166"/>
      <c r="B8" s="103" t="s">
        <v>13</v>
      </c>
      <c r="C8" s="37">
        <v>425</v>
      </c>
      <c r="D8" s="127">
        <f t="shared" ref="D8:D23" si="0">IF(C8="","",C8/2205)</f>
        <v>0.1927437641723356</v>
      </c>
      <c r="E8" s="105">
        <v>28</v>
      </c>
      <c r="F8" s="105">
        <v>0</v>
      </c>
      <c r="G8" s="105">
        <v>0</v>
      </c>
      <c r="H8" s="105">
        <v>0</v>
      </c>
      <c r="I8" s="105">
        <v>0</v>
      </c>
      <c r="J8" s="105"/>
      <c r="K8" s="119"/>
      <c r="L8" s="4">
        <f>BackEnd!D7</f>
        <v>0.68837058632976988</v>
      </c>
      <c r="M8" s="4" t="str">
        <f>BackEnd!E7</f>
        <v>-</v>
      </c>
      <c r="N8" s="4" t="str">
        <f>BackEnd!F7</f>
        <v>-</v>
      </c>
      <c r="O8" s="4" t="str">
        <f>BackEnd!G7</f>
        <v>-</v>
      </c>
      <c r="P8" s="65" t="str">
        <f>BackEnd!H7</f>
        <v>-</v>
      </c>
      <c r="Q8" s="74"/>
    </row>
    <row r="9" spans="1:26">
      <c r="A9" s="166"/>
      <c r="B9" s="103" t="s">
        <v>14</v>
      </c>
      <c r="C9" s="37">
        <v>875</v>
      </c>
      <c r="D9" s="127">
        <f t="shared" si="0"/>
        <v>0.3968253968253968</v>
      </c>
      <c r="E9" s="104">
        <v>82</v>
      </c>
      <c r="F9" s="105">
        <v>0</v>
      </c>
      <c r="G9" s="105">
        <v>0</v>
      </c>
      <c r="H9" s="105">
        <v>0</v>
      </c>
      <c r="I9" s="105">
        <v>0</v>
      </c>
      <c r="J9" s="104"/>
      <c r="K9" s="73"/>
      <c r="L9" s="4">
        <f>BackEnd!D8</f>
        <v>0.48393341076267909</v>
      </c>
      <c r="M9" s="4" t="str">
        <f>BackEnd!E8</f>
        <v>-</v>
      </c>
      <c r="N9" s="4" t="str">
        <f>BackEnd!F8</f>
        <v>-</v>
      </c>
      <c r="O9" s="4" t="str">
        <f>BackEnd!G8</f>
        <v>-</v>
      </c>
      <c r="P9" s="65" t="str">
        <f>BackEnd!H8</f>
        <v>-</v>
      </c>
    </row>
    <row r="10" spans="1:26" ht="17.399999999999999" customHeight="1">
      <c r="A10" s="166"/>
      <c r="B10" s="103" t="s">
        <v>15</v>
      </c>
      <c r="C10" s="37">
        <v>625</v>
      </c>
      <c r="D10" s="127">
        <f t="shared" si="0"/>
        <v>0.28344671201814059</v>
      </c>
      <c r="E10" s="105">
        <v>34</v>
      </c>
      <c r="F10" s="105">
        <v>0</v>
      </c>
      <c r="G10" s="105">
        <v>0</v>
      </c>
      <c r="H10" s="105">
        <v>0</v>
      </c>
      <c r="I10" s="105">
        <v>0</v>
      </c>
      <c r="J10" s="105"/>
      <c r="K10" s="119"/>
      <c r="L10" s="4">
        <f>BackEnd!D9</f>
        <v>0.83366680005335458</v>
      </c>
      <c r="M10" s="4" t="str">
        <f>BackEnd!E9</f>
        <v>-</v>
      </c>
      <c r="N10" s="4" t="str">
        <f>BackEnd!F9</f>
        <v>-</v>
      </c>
      <c r="O10" s="4" t="str">
        <f>BackEnd!G9</f>
        <v>-</v>
      </c>
      <c r="P10" s="65" t="str">
        <f>BackEnd!H9</f>
        <v>-</v>
      </c>
      <c r="Q10" s="74"/>
    </row>
    <row r="11" spans="1:26">
      <c r="A11" s="166"/>
      <c r="B11" s="103" t="s">
        <v>16</v>
      </c>
      <c r="C11" s="37">
        <v>800</v>
      </c>
      <c r="D11" s="127">
        <f t="shared" si="0"/>
        <v>0.36281179138321995</v>
      </c>
      <c r="E11" s="104">
        <v>44</v>
      </c>
      <c r="F11" s="105">
        <v>0</v>
      </c>
      <c r="G11" s="105">
        <v>0</v>
      </c>
      <c r="H11" s="105">
        <v>0</v>
      </c>
      <c r="I11" s="105">
        <v>0</v>
      </c>
      <c r="J11" s="104"/>
      <c r="K11" s="73"/>
      <c r="L11" s="4">
        <f>BackEnd!D10</f>
        <v>0.82457225314368165</v>
      </c>
      <c r="M11" s="4" t="str">
        <f>BackEnd!E10</f>
        <v>-</v>
      </c>
      <c r="N11" s="4" t="str">
        <f>BackEnd!F10</f>
        <v>-</v>
      </c>
      <c r="O11" s="4" t="str">
        <f>BackEnd!G10</f>
        <v>-</v>
      </c>
      <c r="P11" s="65" t="str">
        <f>BackEnd!H10</f>
        <v>-</v>
      </c>
    </row>
    <row r="12" spans="1:26" ht="17.399999999999999" customHeight="1">
      <c r="A12" s="166"/>
      <c r="B12" s="103" t="s">
        <v>17</v>
      </c>
      <c r="C12" s="37">
        <v>675</v>
      </c>
      <c r="D12" s="127">
        <f t="shared" si="0"/>
        <v>0.30612244897959184</v>
      </c>
      <c r="E12" s="105">
        <v>27</v>
      </c>
      <c r="F12" s="105">
        <v>0</v>
      </c>
      <c r="G12" s="105">
        <v>0</v>
      </c>
      <c r="H12" s="105">
        <v>0</v>
      </c>
      <c r="I12" s="105">
        <v>8</v>
      </c>
      <c r="J12" s="105"/>
      <c r="K12" s="119"/>
      <c r="L12" s="4">
        <f>BackEnd!D11</f>
        <v>1.1337868480725624</v>
      </c>
      <c r="M12" s="4" t="str">
        <f>BackEnd!E11</f>
        <v>-</v>
      </c>
      <c r="N12" s="4" t="str">
        <f>BackEnd!F11</f>
        <v>-</v>
      </c>
      <c r="O12" s="4" t="str">
        <f>BackEnd!G11</f>
        <v>-</v>
      </c>
      <c r="P12" s="65">
        <f>BackEnd!H11</f>
        <v>3.8265306122448979</v>
      </c>
      <c r="Q12" s="74"/>
    </row>
    <row r="13" spans="1:26" ht="17.399999999999999" customHeight="1">
      <c r="A13" s="166"/>
      <c r="B13" s="103" t="s">
        <v>47</v>
      </c>
      <c r="C13" s="37">
        <v>875</v>
      </c>
      <c r="D13" s="127">
        <f t="shared" si="0"/>
        <v>0.3968253968253968</v>
      </c>
      <c r="E13" s="105">
        <v>11</v>
      </c>
      <c r="F13" s="105">
        <v>52</v>
      </c>
      <c r="G13" s="105">
        <v>0</v>
      </c>
      <c r="H13" s="105">
        <v>0</v>
      </c>
      <c r="I13" s="105">
        <v>0</v>
      </c>
      <c r="J13" s="105"/>
      <c r="K13" s="119"/>
      <c r="L13" s="4">
        <f>BackEnd!D12</f>
        <v>3.6075036075036073</v>
      </c>
      <c r="M13" s="4">
        <f>BackEnd!E12</f>
        <v>0.76312576312576308</v>
      </c>
      <c r="N13" s="4" t="str">
        <f>BackEnd!F12</f>
        <v>-</v>
      </c>
      <c r="O13" s="4" t="str">
        <f>BackEnd!G12</f>
        <v>-</v>
      </c>
      <c r="P13" s="65" t="str">
        <f>BackEnd!H12</f>
        <v>-</v>
      </c>
      <c r="Q13" s="74"/>
    </row>
    <row r="14" spans="1:26" ht="17.399999999999999" customHeight="1">
      <c r="A14" s="166"/>
      <c r="B14" s="103" t="s">
        <v>18</v>
      </c>
      <c r="C14" s="37">
        <v>825</v>
      </c>
      <c r="D14" s="127">
        <f t="shared" si="0"/>
        <v>0.37414965986394561</v>
      </c>
      <c r="E14" s="105">
        <v>0</v>
      </c>
      <c r="F14" s="105">
        <v>46</v>
      </c>
      <c r="G14" s="105">
        <v>0</v>
      </c>
      <c r="H14" s="105">
        <v>0</v>
      </c>
      <c r="I14" s="105">
        <v>0</v>
      </c>
      <c r="J14" s="105"/>
      <c r="K14" s="119"/>
      <c r="L14" s="4" t="str">
        <f>BackEnd!D13</f>
        <v>-</v>
      </c>
      <c r="M14" s="4">
        <f>BackEnd!E13</f>
        <v>0.81336882579118597</v>
      </c>
      <c r="N14" s="4" t="str">
        <f>BackEnd!F13</f>
        <v>-</v>
      </c>
      <c r="O14" s="4" t="str">
        <f>BackEnd!G13</f>
        <v>-</v>
      </c>
      <c r="P14" s="65" t="str">
        <f>BackEnd!H13</f>
        <v>-</v>
      </c>
      <c r="Q14" s="74"/>
    </row>
    <row r="15" spans="1:26" ht="17.399999999999999" customHeight="1">
      <c r="A15" s="166"/>
      <c r="B15" s="103" t="s">
        <v>19</v>
      </c>
      <c r="C15" s="37">
        <v>775</v>
      </c>
      <c r="D15" s="127">
        <f t="shared" si="0"/>
        <v>0.35147392290249435</v>
      </c>
      <c r="E15" s="105">
        <v>18</v>
      </c>
      <c r="F15" s="105">
        <v>46</v>
      </c>
      <c r="G15" s="105">
        <v>0</v>
      </c>
      <c r="H15" s="105">
        <v>0</v>
      </c>
      <c r="I15" s="105">
        <v>0</v>
      </c>
      <c r="J15" s="105"/>
      <c r="K15" s="119"/>
      <c r="L15" s="4">
        <f>BackEnd!D14</f>
        <v>1.9526329050138576</v>
      </c>
      <c r="M15" s="4">
        <f>BackEnd!E14</f>
        <v>0.76407374544020501</v>
      </c>
      <c r="N15" s="4" t="str">
        <f>BackEnd!F14</f>
        <v>-</v>
      </c>
      <c r="O15" s="4" t="str">
        <f>BackEnd!G14</f>
        <v>-</v>
      </c>
      <c r="P15" s="65" t="str">
        <f>BackEnd!H14</f>
        <v>-</v>
      </c>
      <c r="Q15" s="74"/>
    </row>
    <row r="16" spans="1:26" ht="17.399999999999999" customHeight="1">
      <c r="A16" s="166"/>
      <c r="B16" s="103" t="s">
        <v>20</v>
      </c>
      <c r="C16" s="37">
        <v>590</v>
      </c>
      <c r="D16" s="127">
        <f t="shared" si="0"/>
        <v>0.26757369614512472</v>
      </c>
      <c r="E16" s="105">
        <v>0</v>
      </c>
      <c r="F16" s="105">
        <v>0</v>
      </c>
      <c r="G16" s="105">
        <v>60</v>
      </c>
      <c r="H16" s="105">
        <v>0</v>
      </c>
      <c r="I16" s="105">
        <v>0</v>
      </c>
      <c r="J16" s="105"/>
      <c r="K16" s="119"/>
      <c r="L16" s="4" t="str">
        <f>BackEnd!D15</f>
        <v>-</v>
      </c>
      <c r="M16" s="4" t="str">
        <f>BackEnd!E15</f>
        <v>-</v>
      </c>
      <c r="N16" s="4">
        <f>BackEnd!F15</f>
        <v>0.44595616024187451</v>
      </c>
      <c r="O16" s="4" t="str">
        <f>BackEnd!G15</f>
        <v>-</v>
      </c>
      <c r="P16" s="65" t="str">
        <f>BackEnd!H15</f>
        <v>-</v>
      </c>
      <c r="Q16" s="74"/>
    </row>
    <row r="17" spans="1:54" ht="17.399999999999999" customHeight="1">
      <c r="A17" s="166"/>
      <c r="B17" s="103" t="s">
        <v>21</v>
      </c>
      <c r="C17" s="37">
        <v>850</v>
      </c>
      <c r="D17" s="127">
        <f t="shared" si="0"/>
        <v>0.3854875283446712</v>
      </c>
      <c r="E17" s="105">
        <v>21</v>
      </c>
      <c r="F17" s="105">
        <v>0</v>
      </c>
      <c r="G17" s="105">
        <v>0</v>
      </c>
      <c r="H17" s="105">
        <v>24</v>
      </c>
      <c r="I17" s="105">
        <v>0</v>
      </c>
      <c r="J17" s="105"/>
      <c r="K17" s="119"/>
      <c r="L17" s="4">
        <f>BackEnd!D16</f>
        <v>1.8356548968793869</v>
      </c>
      <c r="M17" s="4" t="str">
        <f>BackEnd!E16</f>
        <v>-</v>
      </c>
      <c r="N17" s="4" t="str">
        <f>BackEnd!F16</f>
        <v>-</v>
      </c>
      <c r="O17" s="4">
        <f>BackEnd!G16</f>
        <v>1.6061980347694635</v>
      </c>
      <c r="P17" s="65" t="str">
        <f>BackEnd!H16</f>
        <v>-</v>
      </c>
      <c r="Q17" s="74"/>
    </row>
    <row r="18" spans="1:54">
      <c r="A18" s="166"/>
      <c r="B18" s="103" t="s">
        <v>22</v>
      </c>
      <c r="C18" s="37">
        <v>325</v>
      </c>
      <c r="D18" s="127">
        <f t="shared" si="0"/>
        <v>0.14739229024943309</v>
      </c>
      <c r="E18" s="104">
        <v>0</v>
      </c>
      <c r="F18" s="105">
        <v>0</v>
      </c>
      <c r="G18" s="105">
        <v>0</v>
      </c>
      <c r="H18" s="105">
        <v>90</v>
      </c>
      <c r="I18" s="105">
        <v>0</v>
      </c>
      <c r="J18" s="104"/>
      <c r="K18" s="73"/>
      <c r="L18" s="4" t="str">
        <f>BackEnd!D17</f>
        <v>-</v>
      </c>
      <c r="M18" s="4" t="str">
        <f>BackEnd!E17</f>
        <v>-</v>
      </c>
      <c r="N18" s="4" t="str">
        <f>BackEnd!F17</f>
        <v>-</v>
      </c>
      <c r="O18" s="4">
        <f>BackEnd!G17</f>
        <v>0.16376921138825901</v>
      </c>
      <c r="P18" s="65" t="str">
        <f>BackEnd!H17</f>
        <v>-</v>
      </c>
    </row>
    <row r="19" spans="1:54" ht="17.399999999999999" customHeight="1">
      <c r="A19" s="166"/>
      <c r="B19" s="103" t="s">
        <v>23</v>
      </c>
      <c r="C19" s="37">
        <v>225</v>
      </c>
      <c r="D19" s="127">
        <f t="shared" si="0"/>
        <v>0.10204081632653061</v>
      </c>
      <c r="E19" s="105">
        <v>0</v>
      </c>
      <c r="F19" s="105">
        <v>0</v>
      </c>
      <c r="G19" s="105">
        <v>0</v>
      </c>
      <c r="H19" s="105">
        <v>18</v>
      </c>
      <c r="I19" s="105">
        <v>23</v>
      </c>
      <c r="J19" s="105"/>
      <c r="K19" s="119"/>
      <c r="L19" s="4" t="str">
        <f>BackEnd!D18</f>
        <v>-</v>
      </c>
      <c r="M19" s="4" t="str">
        <f>BackEnd!E18</f>
        <v>-</v>
      </c>
      <c r="N19" s="4" t="str">
        <f>BackEnd!F18</f>
        <v>-</v>
      </c>
      <c r="O19" s="4">
        <f>BackEnd!G18</f>
        <v>0.56689342403628118</v>
      </c>
      <c r="P19" s="65">
        <f>BackEnd!H18</f>
        <v>0.44365572315882873</v>
      </c>
      <c r="Q19" s="74"/>
    </row>
    <row r="20" spans="1:54" ht="17.399999999999999" customHeight="1">
      <c r="A20" s="166"/>
      <c r="B20" s="103" t="s">
        <v>24</v>
      </c>
      <c r="C20" s="37">
        <v>55</v>
      </c>
      <c r="D20" s="127">
        <f t="shared" si="0"/>
        <v>2.4943310657596373E-2</v>
      </c>
      <c r="E20" s="105">
        <v>0</v>
      </c>
      <c r="F20" s="105">
        <v>0</v>
      </c>
      <c r="G20" s="105">
        <v>50</v>
      </c>
      <c r="H20" s="105">
        <v>18</v>
      </c>
      <c r="I20" s="105">
        <v>0</v>
      </c>
      <c r="J20" s="105"/>
      <c r="K20" s="119"/>
      <c r="L20" s="4" t="str">
        <f>BackEnd!D19</f>
        <v>-</v>
      </c>
      <c r="M20" s="4" t="str">
        <f>BackEnd!E19</f>
        <v>-</v>
      </c>
      <c r="N20" s="4">
        <f>BackEnd!F19</f>
        <v>4.9886621315192746E-2</v>
      </c>
      <c r="O20" s="4">
        <f>BackEnd!G19</f>
        <v>0.13857394809775764</v>
      </c>
      <c r="P20" s="65" t="str">
        <f>BackEnd!H19</f>
        <v>-</v>
      </c>
      <c r="Q20" s="74"/>
    </row>
    <row r="21" spans="1:54" ht="17.399999999999999" customHeight="1">
      <c r="A21" s="166"/>
      <c r="B21" s="2" t="s">
        <v>25</v>
      </c>
      <c r="C21" s="37">
        <v>750</v>
      </c>
      <c r="D21" s="127">
        <f t="shared" si="0"/>
        <v>0.3401360544217687</v>
      </c>
      <c r="E21" s="8">
        <v>20</v>
      </c>
      <c r="F21" s="8">
        <v>18</v>
      </c>
      <c r="G21" s="8">
        <v>0</v>
      </c>
      <c r="H21" s="8">
        <v>18</v>
      </c>
      <c r="I21" s="8">
        <v>24</v>
      </c>
      <c r="J21" s="105"/>
      <c r="K21" s="119"/>
      <c r="L21" s="4">
        <f>BackEnd!D20</f>
        <v>1.7006802721088434</v>
      </c>
      <c r="M21" s="4">
        <f>BackEnd!E20</f>
        <v>1.8896447467876041</v>
      </c>
      <c r="N21" s="4" t="str">
        <f>BackEnd!F20</f>
        <v>-</v>
      </c>
      <c r="O21" s="4">
        <f>BackEnd!G20</f>
        <v>1.8896447467876041</v>
      </c>
      <c r="P21" s="65">
        <f>BackEnd!H20</f>
        <v>1.4172335600907031</v>
      </c>
      <c r="Q21" s="74"/>
    </row>
    <row r="22" spans="1:54" ht="17.399999999999999" customHeight="1">
      <c r="A22" s="166"/>
      <c r="B22" s="2" t="s">
        <v>26</v>
      </c>
      <c r="C22" s="37">
        <v>640</v>
      </c>
      <c r="D22" s="127">
        <f t="shared" si="0"/>
        <v>0.29024943310657597</v>
      </c>
      <c r="E22" s="8">
        <v>34</v>
      </c>
      <c r="F22" s="8">
        <v>0</v>
      </c>
      <c r="G22" s="8">
        <v>0</v>
      </c>
      <c r="H22" s="8">
        <v>0</v>
      </c>
      <c r="I22" s="8">
        <v>0</v>
      </c>
      <c r="J22" s="105"/>
      <c r="K22" s="119"/>
      <c r="L22" s="4">
        <f>BackEnd!D21</f>
        <v>0.85367480325463518</v>
      </c>
      <c r="M22" s="4" t="str">
        <f>BackEnd!E21</f>
        <v>-</v>
      </c>
      <c r="N22" s="4" t="str">
        <f>BackEnd!F21</f>
        <v>-</v>
      </c>
      <c r="O22" s="4" t="str">
        <f>BackEnd!G21</f>
        <v>-</v>
      </c>
      <c r="P22" s="65" t="str">
        <f>BackEnd!H21</f>
        <v>-</v>
      </c>
      <c r="Q22" s="74"/>
    </row>
    <row r="23" spans="1:54" ht="17.399999999999999" customHeight="1">
      <c r="A23" s="166"/>
      <c r="B23" s="2" t="s">
        <v>27</v>
      </c>
      <c r="C23" s="37">
        <v>560</v>
      </c>
      <c r="D23" s="127">
        <f t="shared" si="0"/>
        <v>0.25396825396825395</v>
      </c>
      <c r="E23" s="8">
        <v>0</v>
      </c>
      <c r="F23" s="8">
        <v>5</v>
      </c>
      <c r="G23" s="8">
        <v>24</v>
      </c>
      <c r="H23" s="8">
        <v>0</v>
      </c>
      <c r="I23" s="8">
        <v>0</v>
      </c>
      <c r="J23" s="105"/>
      <c r="K23" s="119"/>
      <c r="L23" s="4" t="str">
        <f>BackEnd!D22</f>
        <v>-</v>
      </c>
      <c r="M23" s="4">
        <f>BackEnd!E22</f>
        <v>5.0793650793650791</v>
      </c>
      <c r="N23" s="4">
        <f>BackEnd!F22</f>
        <v>1.0582010582010584</v>
      </c>
      <c r="O23" s="4" t="str">
        <f>BackEnd!G22</f>
        <v>-</v>
      </c>
      <c r="P23" s="65" t="str">
        <f>BackEnd!H22</f>
        <v>-</v>
      </c>
      <c r="Q23" s="74"/>
    </row>
    <row r="24" spans="1:54" ht="12.6" customHeight="1" thickBot="1">
      <c r="A24" s="71"/>
      <c r="B24" s="116"/>
      <c r="C24" s="112"/>
      <c r="D24" s="112"/>
      <c r="E24" s="112"/>
      <c r="F24" s="112"/>
      <c r="G24" s="112"/>
      <c r="H24" s="112"/>
      <c r="I24" s="112"/>
      <c r="J24" s="112"/>
      <c r="K24" s="116"/>
      <c r="L24" s="66" t="str">
        <f>BackEnd!D23</f>
        <v/>
      </c>
      <c r="M24" s="66" t="str">
        <f>BackEnd!E23</f>
        <v/>
      </c>
      <c r="N24" s="66" t="str">
        <f>BackEnd!F23</f>
        <v/>
      </c>
      <c r="O24" s="66" t="str">
        <f>BackEnd!G23</f>
        <v/>
      </c>
      <c r="P24" s="67" t="str">
        <f>BackEnd!H23</f>
        <v/>
      </c>
      <c r="Q24" s="74"/>
    </row>
    <row r="25" spans="1:54" ht="22.95" customHeight="1">
      <c r="A25" s="162" t="s">
        <v>28</v>
      </c>
      <c r="B25" s="186" t="s">
        <v>29</v>
      </c>
      <c r="C25" s="154" t="s">
        <v>30</v>
      </c>
      <c r="D25" s="154" t="s">
        <v>31</v>
      </c>
      <c r="E25" s="185" t="s">
        <v>32</v>
      </c>
      <c r="F25" s="185"/>
      <c r="G25" s="185"/>
      <c r="H25" s="185"/>
      <c r="I25" s="185"/>
      <c r="J25" s="154" t="s">
        <v>62</v>
      </c>
      <c r="K25" s="118"/>
      <c r="L25" s="77"/>
      <c r="M25" s="77"/>
      <c r="N25" s="77"/>
      <c r="O25" s="77"/>
      <c r="P25" s="78"/>
      <c r="Q25" s="74"/>
      <c r="BB25" s="1"/>
    </row>
    <row r="26" spans="1:54" ht="22.2" customHeight="1">
      <c r="A26" s="163"/>
      <c r="B26" s="187"/>
      <c r="C26" s="155"/>
      <c r="D26" s="155"/>
      <c r="E26" s="117" t="s">
        <v>3</v>
      </c>
      <c r="F26" s="117" t="s">
        <v>4</v>
      </c>
      <c r="G26" s="117" t="s">
        <v>5</v>
      </c>
      <c r="H26" s="117" t="s">
        <v>6</v>
      </c>
      <c r="I26" s="117" t="s">
        <v>7</v>
      </c>
      <c r="J26" s="155"/>
      <c r="K26" s="119"/>
      <c r="L26" s="167" t="s">
        <v>63</v>
      </c>
      <c r="M26" s="168"/>
      <c r="N26" s="168"/>
      <c r="O26" s="168"/>
      <c r="P26" s="169"/>
      <c r="Q26" s="74"/>
      <c r="BB26" s="1"/>
    </row>
    <row r="27" spans="1:54" ht="15.6" customHeight="1">
      <c r="A27" s="163"/>
      <c r="B27" s="2" t="s">
        <v>47</v>
      </c>
      <c r="C27" s="6">
        <v>100</v>
      </c>
      <c r="D27" s="64">
        <f>BackEnd!N6</f>
        <v>39.68</v>
      </c>
      <c r="E27" s="105">
        <f>BackEnd!O6</f>
        <v>11</v>
      </c>
      <c r="F27" s="105">
        <f>BackEnd!P6</f>
        <v>52</v>
      </c>
      <c r="G27" s="105">
        <f>BackEnd!Q6</f>
        <v>0</v>
      </c>
      <c r="H27" s="105">
        <f>BackEnd!R6</f>
        <v>0</v>
      </c>
      <c r="I27" s="105">
        <f>BackEnd!S6</f>
        <v>0</v>
      </c>
      <c r="J27" s="120">
        <f>BackEnd!T6</f>
        <v>1.36</v>
      </c>
      <c r="K27" s="119"/>
      <c r="L27" s="177" t="s">
        <v>20</v>
      </c>
      <c r="M27" s="178"/>
      <c r="N27" s="141" t="s">
        <v>65</v>
      </c>
      <c r="O27" s="156">
        <f>BackEnd!X2</f>
        <v>0</v>
      </c>
      <c r="P27" s="79"/>
      <c r="Q27" s="74"/>
      <c r="BB27" s="1"/>
    </row>
    <row r="28" spans="1:54" ht="15.6" customHeight="1">
      <c r="A28" s="163"/>
      <c r="B28" s="2" t="s">
        <v>21</v>
      </c>
      <c r="C28" s="6">
        <v>200</v>
      </c>
      <c r="D28" s="64">
        <f>BackEnd!N7</f>
        <v>77.099999999999994</v>
      </c>
      <c r="E28" s="105">
        <f>BackEnd!O7</f>
        <v>42</v>
      </c>
      <c r="F28" s="105">
        <f>BackEnd!P7</f>
        <v>0</v>
      </c>
      <c r="G28" s="105">
        <f>BackEnd!Q7</f>
        <v>0</v>
      </c>
      <c r="H28" s="105">
        <f>BackEnd!R7</f>
        <v>48</v>
      </c>
      <c r="I28" s="105">
        <f>BackEnd!S7</f>
        <v>0</v>
      </c>
      <c r="J28" s="120">
        <f>BackEnd!T7</f>
        <v>2.72</v>
      </c>
      <c r="K28" s="119"/>
      <c r="L28" s="179"/>
      <c r="M28" s="180"/>
      <c r="N28" s="142"/>
      <c r="O28" s="156"/>
      <c r="P28" s="79"/>
      <c r="Q28" s="74"/>
      <c r="BB28" s="1"/>
    </row>
    <row r="29" spans="1:54" ht="15.6" customHeight="1">
      <c r="A29" s="163"/>
      <c r="B29" s="2" t="s">
        <v>12</v>
      </c>
      <c r="C29" s="6">
        <v>100</v>
      </c>
      <c r="D29" s="64">
        <f>BackEnd!N8</f>
        <v>29.71</v>
      </c>
      <c r="E29" s="105">
        <f>BackEnd!O8</f>
        <v>46</v>
      </c>
      <c r="F29" s="105">
        <f>BackEnd!P8</f>
        <v>0</v>
      </c>
      <c r="G29" s="105">
        <f>BackEnd!Q8</f>
        <v>0</v>
      </c>
      <c r="H29" s="105">
        <f>BackEnd!R8</f>
        <v>0</v>
      </c>
      <c r="I29" s="105">
        <f>BackEnd!S8</f>
        <v>0</v>
      </c>
      <c r="J29" s="120">
        <f>BackEnd!T8</f>
        <v>1.36</v>
      </c>
      <c r="K29" s="119"/>
      <c r="L29" s="179"/>
      <c r="M29" s="180"/>
      <c r="N29" s="142"/>
      <c r="O29" s="156"/>
      <c r="P29" s="79"/>
      <c r="Q29" s="74"/>
      <c r="BB29" s="1"/>
    </row>
    <row r="30" spans="1:54">
      <c r="A30" s="163"/>
      <c r="B30" s="2" t="s">
        <v>20</v>
      </c>
      <c r="C30" s="6">
        <v>50</v>
      </c>
      <c r="D30" s="64">
        <f>BackEnd!N9</f>
        <v>13.38</v>
      </c>
      <c r="E30" s="104">
        <f>BackEnd!O9</f>
        <v>0</v>
      </c>
      <c r="F30" s="104">
        <f>BackEnd!P9</f>
        <v>0</v>
      </c>
      <c r="G30" s="104">
        <f>BackEnd!Q9</f>
        <v>30</v>
      </c>
      <c r="H30" s="104">
        <f>BackEnd!R9</f>
        <v>0</v>
      </c>
      <c r="I30" s="104">
        <f>BackEnd!S9</f>
        <v>0</v>
      </c>
      <c r="J30" s="120">
        <f>BackEnd!T9</f>
        <v>0.68</v>
      </c>
      <c r="K30" s="119"/>
      <c r="L30" s="181"/>
      <c r="M30" s="182"/>
      <c r="N30" s="143"/>
      <c r="O30" s="156"/>
      <c r="P30" s="80"/>
      <c r="Q30" s="74"/>
      <c r="BB30" s="1"/>
    </row>
    <row r="31" spans="1:54">
      <c r="A31" s="163"/>
      <c r="B31" s="2"/>
      <c r="C31" s="6"/>
      <c r="D31" s="64" t="str">
        <f>BackEnd!N10</f>
        <v/>
      </c>
      <c r="E31" s="104" t="str">
        <f>BackEnd!O10</f>
        <v/>
      </c>
      <c r="F31" s="104" t="str">
        <f>BackEnd!P10</f>
        <v/>
      </c>
      <c r="G31" s="104" t="str">
        <f>BackEnd!Q10</f>
        <v/>
      </c>
      <c r="H31" s="104" t="str">
        <f>BackEnd!R10</f>
        <v/>
      </c>
      <c r="I31" s="104" t="str">
        <f>BackEnd!S10</f>
        <v/>
      </c>
      <c r="J31" s="120">
        <f>BackEnd!T10</f>
        <v>0</v>
      </c>
      <c r="K31" s="119"/>
      <c r="L31" s="73"/>
      <c r="M31" s="73"/>
      <c r="N31" s="73"/>
      <c r="O31" s="73"/>
      <c r="P31" s="80"/>
      <c r="Q31" s="74"/>
      <c r="BB31" s="1"/>
    </row>
    <row r="32" spans="1:54" ht="21.6" customHeight="1" thickBot="1">
      <c r="A32" s="164"/>
      <c r="B32" s="124" t="s">
        <v>64</v>
      </c>
      <c r="C32" s="122" t="str">
        <f>BackEnd!M12</f>
        <v>450 lb/ac</v>
      </c>
      <c r="D32" s="121"/>
      <c r="E32" s="121"/>
      <c r="F32" s="121"/>
      <c r="G32" s="121"/>
      <c r="H32" s="121"/>
      <c r="I32" s="121"/>
      <c r="J32" s="122" t="str">
        <f>BackEnd!T12</f>
        <v>6.12 tonnes</v>
      </c>
      <c r="K32" s="123"/>
      <c r="L32" s="81"/>
      <c r="M32" s="81"/>
      <c r="N32" s="83"/>
      <c r="O32" s="81"/>
      <c r="P32" s="82"/>
      <c r="Q32" s="74"/>
      <c r="BB32" s="1"/>
    </row>
    <row r="33" spans="1:54" ht="13.8" customHeight="1" thickBot="1">
      <c r="A33" s="72"/>
      <c r="B33" s="94"/>
      <c r="C33" s="95"/>
      <c r="D33" s="96"/>
      <c r="E33" s="96"/>
      <c r="F33" s="96"/>
      <c r="G33" s="96"/>
      <c r="H33" s="96"/>
      <c r="I33" s="96"/>
      <c r="J33" s="95"/>
      <c r="K33" s="87"/>
      <c r="L33" s="84"/>
      <c r="M33" s="85"/>
      <c r="N33" s="86"/>
      <c r="O33" s="85"/>
      <c r="P33" s="87"/>
      <c r="Q33" s="74"/>
      <c r="BB33" s="1"/>
    </row>
    <row r="34" spans="1:54" ht="15.6" customHeight="1">
      <c r="A34" s="159" t="s">
        <v>33</v>
      </c>
      <c r="B34" s="153" t="s">
        <v>34</v>
      </c>
      <c r="C34" s="153"/>
      <c r="D34" s="153"/>
      <c r="E34" s="153"/>
      <c r="F34" s="153"/>
      <c r="G34" s="153"/>
      <c r="H34" s="153"/>
      <c r="I34" s="153"/>
      <c r="J34" s="97"/>
      <c r="K34" s="98"/>
      <c r="L34" s="88"/>
      <c r="M34" s="89"/>
      <c r="N34" s="89"/>
      <c r="O34" s="89"/>
      <c r="P34" s="89"/>
      <c r="BB34" s="1"/>
    </row>
    <row r="35" spans="1:54" ht="16.8">
      <c r="A35" s="160"/>
      <c r="B35" s="99"/>
      <c r="C35" s="100"/>
      <c r="D35" s="100"/>
      <c r="E35" s="101" t="s">
        <v>3</v>
      </c>
      <c r="F35" s="101" t="s">
        <v>4</v>
      </c>
      <c r="G35" s="101" t="s">
        <v>5</v>
      </c>
      <c r="H35" s="101" t="s">
        <v>6</v>
      </c>
      <c r="I35" s="101" t="s">
        <v>7</v>
      </c>
      <c r="J35" s="101"/>
      <c r="K35" s="102"/>
      <c r="L35" s="74"/>
      <c r="M35" s="73"/>
      <c r="N35" s="73"/>
      <c r="O35" s="73"/>
      <c r="P35" s="73"/>
    </row>
    <row r="36" spans="1:54">
      <c r="A36" s="160"/>
      <c r="B36" s="103" t="s">
        <v>51</v>
      </c>
      <c r="C36" s="104"/>
      <c r="D36" s="104"/>
      <c r="E36" s="105">
        <f>BackEnd!O13</f>
        <v>99</v>
      </c>
      <c r="F36" s="105">
        <f>BackEnd!P13</f>
        <v>52</v>
      </c>
      <c r="G36" s="105">
        <f>BackEnd!Q13</f>
        <v>30</v>
      </c>
      <c r="H36" s="105">
        <f>BackEnd!R13</f>
        <v>48</v>
      </c>
      <c r="I36" s="105">
        <f>BackEnd!S13</f>
        <v>0</v>
      </c>
      <c r="J36" s="105"/>
      <c r="K36" s="102"/>
      <c r="L36" s="74"/>
      <c r="M36" s="73"/>
      <c r="N36" s="73"/>
      <c r="O36" s="73"/>
      <c r="P36" s="73"/>
    </row>
    <row r="37" spans="1:54">
      <c r="A37" s="160"/>
      <c r="B37" s="103" t="s">
        <v>52</v>
      </c>
      <c r="C37" s="104"/>
      <c r="D37" s="104"/>
      <c r="E37" s="105">
        <f>E4</f>
        <v>100</v>
      </c>
      <c r="F37" s="105">
        <f t="shared" ref="F37:I37" si="1">F4</f>
        <v>40</v>
      </c>
      <c r="G37" s="105">
        <f t="shared" si="1"/>
        <v>30</v>
      </c>
      <c r="H37" s="105">
        <f t="shared" si="1"/>
        <v>50</v>
      </c>
      <c r="I37" s="105">
        <f t="shared" si="1"/>
        <v>20</v>
      </c>
      <c r="J37" s="105"/>
      <c r="K37" s="102"/>
      <c r="L37" s="74"/>
      <c r="M37" s="73"/>
      <c r="N37" s="73"/>
      <c r="O37" s="73"/>
      <c r="P37" s="73"/>
    </row>
    <row r="38" spans="1:54">
      <c r="A38" s="160"/>
      <c r="B38" s="103" t="s">
        <v>53</v>
      </c>
      <c r="C38" s="104"/>
      <c r="D38" s="104"/>
      <c r="E38" s="105">
        <f>BackEnd!O14</f>
        <v>-1</v>
      </c>
      <c r="F38" s="105">
        <f>BackEnd!P14</f>
        <v>12</v>
      </c>
      <c r="G38" s="105">
        <f>BackEnd!Q14</f>
        <v>0</v>
      </c>
      <c r="H38" s="105">
        <f>BackEnd!R14</f>
        <v>-2</v>
      </c>
      <c r="I38" s="105">
        <f>BackEnd!S14</f>
        <v>-20</v>
      </c>
      <c r="J38" s="105"/>
      <c r="K38" s="102"/>
      <c r="L38" s="74"/>
      <c r="M38" s="73"/>
      <c r="N38" s="73"/>
      <c r="O38" s="73"/>
      <c r="P38" s="73"/>
    </row>
    <row r="39" spans="1:54">
      <c r="A39" s="160"/>
      <c r="B39" s="103"/>
      <c r="C39" s="104"/>
      <c r="D39" s="104"/>
      <c r="E39" s="104" t="str">
        <f>BackEnd!O15</f>
        <v>Okay</v>
      </c>
      <c r="F39" s="104" t="str">
        <f>BackEnd!P15</f>
        <v>Surplus</v>
      </c>
      <c r="G39" s="104" t="str">
        <f>BackEnd!Q15</f>
        <v>Okay</v>
      </c>
      <c r="H39" s="104" t="str">
        <f>BackEnd!R15</f>
        <v>Okay</v>
      </c>
      <c r="I39" s="104" t="str">
        <f>BackEnd!S15</f>
        <v>Deficit</v>
      </c>
      <c r="J39" s="105"/>
      <c r="K39" s="102"/>
      <c r="L39" s="74"/>
      <c r="M39" s="73"/>
      <c r="N39" s="73"/>
      <c r="O39" s="73"/>
      <c r="P39" s="73"/>
    </row>
    <row r="40" spans="1:54" ht="17.399999999999999" customHeight="1" thickBot="1">
      <c r="A40" s="160"/>
      <c r="B40" s="106" t="s">
        <v>35</v>
      </c>
      <c r="C40" s="107">
        <f>BackEnd!N15</f>
        <v>4</v>
      </c>
      <c r="D40" s="107"/>
      <c r="E40" s="103"/>
      <c r="F40" s="103"/>
      <c r="G40" s="103"/>
      <c r="H40" s="103"/>
      <c r="I40" s="103"/>
      <c r="J40" s="103"/>
      <c r="K40" s="102"/>
      <c r="L40" s="74"/>
      <c r="M40" s="73"/>
      <c r="N40" s="73"/>
      <c r="O40" s="73"/>
      <c r="P40" s="73"/>
    </row>
    <row r="41" spans="1:54" ht="47.4" customHeight="1" thickBot="1">
      <c r="A41" s="160"/>
      <c r="B41" s="108" t="s">
        <v>55</v>
      </c>
      <c r="C41" s="183" t="str">
        <f>BackEnd!N12</f>
        <v>$159.87/ac</v>
      </c>
      <c r="D41" s="184"/>
      <c r="E41" s="144" t="str">
        <f>BackEnd!L17</f>
        <v xml:space="preserve">Mono-ammonium phosphate, MAP (11-52-0) ($39.68/ac), Ammonium sulphate (21-0-0-24) ($77.1/ac), Urea (46-0-0) ($29.71/ac), Muriate of potash, KCl (0-0-60) ($13.38/ac), </v>
      </c>
      <c r="F41" s="145"/>
      <c r="G41" s="145"/>
      <c r="H41" s="145"/>
      <c r="I41" s="145"/>
      <c r="J41" s="146"/>
      <c r="K41" s="102"/>
      <c r="L41" s="74"/>
      <c r="M41" s="73"/>
      <c r="N41" s="90"/>
      <c r="O41" s="90"/>
      <c r="P41" s="90"/>
    </row>
    <row r="42" spans="1:54" ht="49.2" customHeight="1" thickBot="1">
      <c r="A42" s="161"/>
      <c r="B42" s="109" t="s">
        <v>54</v>
      </c>
      <c r="C42" s="173">
        <f>BackEnd!U11</f>
        <v>4796.0999999999995</v>
      </c>
      <c r="D42" s="174"/>
      <c r="E42" s="175"/>
      <c r="F42" s="175"/>
      <c r="G42" s="175"/>
      <c r="H42" s="175"/>
      <c r="I42" s="175"/>
      <c r="J42" s="176"/>
      <c r="K42" s="102"/>
      <c r="L42" s="74"/>
      <c r="M42" s="73"/>
      <c r="N42" s="91"/>
      <c r="O42" s="91"/>
      <c r="P42" s="91"/>
    </row>
    <row r="43" spans="1:54" ht="16.2" thickBot="1">
      <c r="A43" s="138"/>
      <c r="B43" s="110"/>
      <c r="C43" s="111"/>
      <c r="D43" s="111"/>
      <c r="E43" s="111"/>
      <c r="F43" s="112"/>
      <c r="G43" s="112"/>
      <c r="H43" s="112"/>
      <c r="I43" s="112"/>
      <c r="J43" s="112"/>
      <c r="K43" s="113"/>
      <c r="L43" s="92"/>
      <c r="M43" s="93"/>
      <c r="N43" s="93"/>
      <c r="O43" s="93"/>
      <c r="P43" s="93"/>
    </row>
    <row r="44" spans="1:54">
      <c r="A44" s="139"/>
      <c r="B44" s="89"/>
      <c r="C44" s="114"/>
      <c r="D44" s="114"/>
      <c r="E44" s="114"/>
      <c r="F44" s="114"/>
      <c r="G44" s="114"/>
      <c r="H44" s="114"/>
      <c r="I44" s="114"/>
      <c r="J44" s="114"/>
      <c r="K44" s="89"/>
      <c r="L44" s="73"/>
      <c r="M44" s="73"/>
      <c r="N44" s="73"/>
      <c r="O44" s="73"/>
      <c r="P44" s="73"/>
    </row>
    <row r="45" spans="1:54">
      <c r="A45" s="140"/>
      <c r="B45" s="73"/>
      <c r="C45" s="115"/>
      <c r="D45" s="115"/>
      <c r="E45" s="115"/>
      <c r="F45" s="115"/>
      <c r="G45" s="115"/>
      <c r="H45" s="115"/>
      <c r="I45" s="115"/>
      <c r="J45" s="115"/>
      <c r="K45" s="73"/>
      <c r="L45" s="73"/>
      <c r="M45" s="73"/>
      <c r="N45" s="73"/>
      <c r="O45" s="73"/>
      <c r="P45" s="73"/>
    </row>
    <row r="46" spans="1:54">
      <c r="A46" s="140"/>
      <c r="B46" s="73"/>
      <c r="C46" s="115"/>
      <c r="D46" s="115"/>
      <c r="E46" s="115"/>
      <c r="F46" s="115"/>
      <c r="G46" s="115"/>
      <c r="H46" s="115"/>
      <c r="I46" s="115"/>
      <c r="J46" s="115"/>
      <c r="K46" s="73"/>
      <c r="L46" s="73"/>
      <c r="M46" s="73"/>
      <c r="N46" s="73"/>
      <c r="O46" s="73"/>
      <c r="P46" s="73"/>
    </row>
    <row r="47" spans="1:54">
      <c r="A47" s="140"/>
      <c r="B47" s="73"/>
      <c r="C47" s="115"/>
      <c r="D47" s="115"/>
      <c r="E47" s="115"/>
      <c r="F47" s="115"/>
      <c r="G47" s="115"/>
      <c r="H47" s="115"/>
      <c r="I47" s="115"/>
      <c r="J47" s="115"/>
      <c r="K47" s="73"/>
      <c r="L47" s="73"/>
      <c r="M47" s="73"/>
      <c r="N47" s="73"/>
      <c r="O47" s="73"/>
      <c r="P47" s="73"/>
    </row>
    <row r="48" spans="1:54">
      <c r="A48" s="140"/>
      <c r="B48" s="73"/>
      <c r="C48" s="115"/>
      <c r="D48" s="115"/>
      <c r="E48" s="115"/>
      <c r="F48" s="115"/>
      <c r="G48" s="115"/>
      <c r="H48" s="115"/>
      <c r="I48" s="115"/>
      <c r="J48" s="115"/>
      <c r="K48" s="73"/>
      <c r="L48" s="73"/>
      <c r="M48" s="73"/>
      <c r="N48" s="73"/>
      <c r="O48" s="73"/>
      <c r="P48" s="73"/>
    </row>
    <row r="49" spans="1:16">
      <c r="A49" s="140"/>
      <c r="B49" s="73"/>
      <c r="C49" s="115"/>
      <c r="D49" s="115"/>
      <c r="E49" s="115"/>
      <c r="F49" s="115"/>
      <c r="G49" s="115"/>
      <c r="H49" s="115"/>
      <c r="I49" s="115"/>
      <c r="J49" s="115"/>
      <c r="K49" s="73"/>
      <c r="L49" s="73"/>
      <c r="M49" s="73"/>
      <c r="N49" s="73"/>
      <c r="O49" s="73"/>
      <c r="P49" s="73"/>
    </row>
    <row r="50" spans="1:16">
      <c r="A50" s="140"/>
      <c r="B50" s="73"/>
      <c r="C50" s="115"/>
      <c r="D50" s="115"/>
      <c r="E50" s="115"/>
      <c r="F50" s="115"/>
      <c r="G50" s="115"/>
      <c r="H50" s="115"/>
      <c r="I50" s="115"/>
      <c r="J50" s="115"/>
      <c r="K50" s="73"/>
      <c r="L50" s="73"/>
      <c r="M50" s="73"/>
      <c r="N50" s="73"/>
      <c r="O50" s="73"/>
      <c r="P50" s="73"/>
    </row>
    <row r="51" spans="1:16">
      <c r="A51" s="140"/>
      <c r="B51" s="73"/>
      <c r="C51" s="115"/>
      <c r="D51" s="115"/>
      <c r="E51" s="115"/>
      <c r="F51" s="115"/>
      <c r="G51" s="115"/>
      <c r="H51" s="115"/>
      <c r="I51" s="115"/>
      <c r="J51" s="115"/>
      <c r="K51" s="73"/>
      <c r="L51" s="73"/>
      <c r="M51" s="73"/>
      <c r="N51" s="73"/>
      <c r="O51" s="73"/>
      <c r="P51" s="73"/>
    </row>
    <row r="52" spans="1:16">
      <c r="A52" s="140"/>
      <c r="B52" s="73"/>
      <c r="C52" s="115"/>
      <c r="D52" s="115"/>
      <c r="E52" s="115"/>
      <c r="F52" s="115"/>
      <c r="G52" s="115"/>
      <c r="H52" s="115"/>
      <c r="I52" s="115"/>
      <c r="J52" s="115"/>
      <c r="K52" s="73"/>
      <c r="L52" s="73"/>
      <c r="M52" s="73"/>
      <c r="N52" s="73"/>
      <c r="O52" s="73"/>
      <c r="P52" s="73"/>
    </row>
    <row r="53" spans="1:16">
      <c r="A53" s="140"/>
      <c r="B53" s="73"/>
      <c r="C53" s="115"/>
      <c r="D53" s="115"/>
      <c r="E53" s="115"/>
      <c r="F53" s="115"/>
      <c r="G53" s="115"/>
      <c r="H53" s="115"/>
      <c r="I53" s="115"/>
      <c r="J53" s="115"/>
      <c r="K53" s="73"/>
      <c r="L53" s="73"/>
      <c r="M53" s="73"/>
      <c r="N53" s="73"/>
      <c r="O53" s="73"/>
      <c r="P53" s="73"/>
    </row>
    <row r="54" spans="1:16">
      <c r="A54" s="140"/>
      <c r="B54" s="73"/>
      <c r="C54" s="115"/>
      <c r="D54" s="115"/>
      <c r="E54" s="115"/>
      <c r="F54" s="115"/>
      <c r="G54" s="115"/>
      <c r="H54" s="115"/>
      <c r="I54" s="115"/>
      <c r="J54" s="115"/>
      <c r="K54" s="73"/>
      <c r="L54" s="73"/>
      <c r="M54" s="73"/>
      <c r="N54" s="73"/>
      <c r="O54" s="73"/>
      <c r="P54" s="73"/>
    </row>
    <row r="55" spans="1:16">
      <c r="A55" s="140"/>
      <c r="B55" s="73"/>
      <c r="C55" s="115"/>
      <c r="D55" s="115"/>
      <c r="E55" s="115"/>
      <c r="F55" s="115"/>
      <c r="G55" s="115"/>
      <c r="H55" s="115"/>
      <c r="I55" s="115"/>
      <c r="J55" s="115"/>
      <c r="K55" s="73"/>
      <c r="L55" s="73"/>
      <c r="M55" s="73"/>
      <c r="N55" s="73"/>
      <c r="O55" s="73"/>
      <c r="P55" s="73"/>
    </row>
    <row r="56" spans="1:16">
      <c r="A56" s="140"/>
      <c r="B56" s="73"/>
      <c r="C56" s="115"/>
      <c r="D56" s="115"/>
      <c r="E56" s="115"/>
      <c r="F56" s="115"/>
      <c r="G56" s="115"/>
      <c r="H56" s="115"/>
      <c r="I56" s="115"/>
      <c r="J56" s="115"/>
      <c r="K56" s="73"/>
      <c r="L56" s="73"/>
      <c r="M56" s="73"/>
      <c r="N56" s="73"/>
      <c r="O56" s="73"/>
      <c r="P56" s="73"/>
    </row>
    <row r="57" spans="1:16">
      <c r="A57" s="140"/>
      <c r="B57" s="73"/>
      <c r="C57" s="115"/>
      <c r="D57" s="115"/>
      <c r="E57" s="115"/>
      <c r="F57" s="115"/>
      <c r="G57" s="115"/>
      <c r="H57" s="115"/>
      <c r="I57" s="115"/>
      <c r="J57" s="115"/>
      <c r="K57" s="73"/>
      <c r="L57" s="73"/>
      <c r="M57" s="73"/>
      <c r="N57" s="73"/>
      <c r="O57" s="73"/>
      <c r="P57" s="73"/>
    </row>
    <row r="58" spans="1:16">
      <c r="A58" s="140"/>
      <c r="B58" s="73"/>
      <c r="C58" s="115"/>
      <c r="D58" s="115"/>
      <c r="E58" s="115"/>
      <c r="F58" s="115"/>
      <c r="G58" s="115"/>
      <c r="H58" s="115"/>
      <c r="I58" s="115"/>
      <c r="J58" s="115"/>
      <c r="K58" s="73"/>
      <c r="L58" s="73"/>
      <c r="M58" s="73"/>
      <c r="N58" s="73"/>
      <c r="O58" s="73"/>
      <c r="P58" s="73"/>
    </row>
    <row r="59" spans="1:16">
      <c r="A59" s="140"/>
      <c r="B59" s="73"/>
      <c r="C59" s="115"/>
      <c r="D59" s="115"/>
      <c r="E59" s="115"/>
      <c r="F59" s="115"/>
      <c r="G59" s="115"/>
      <c r="H59" s="115"/>
      <c r="I59" s="115"/>
      <c r="J59" s="115"/>
      <c r="K59" s="73"/>
      <c r="L59" s="73"/>
      <c r="M59" s="73"/>
      <c r="N59" s="73"/>
      <c r="O59" s="73"/>
      <c r="P59" s="73"/>
    </row>
    <row r="60" spans="1:16">
      <c r="A60" s="140"/>
      <c r="B60" s="73"/>
      <c r="C60" s="115"/>
      <c r="D60" s="115"/>
      <c r="E60" s="115"/>
      <c r="F60" s="115"/>
      <c r="G60" s="115"/>
      <c r="H60" s="115"/>
      <c r="I60" s="115"/>
      <c r="J60" s="115"/>
      <c r="K60" s="73"/>
      <c r="L60" s="73"/>
      <c r="M60" s="73"/>
      <c r="N60" s="73"/>
      <c r="O60" s="73"/>
      <c r="P60" s="73"/>
    </row>
    <row r="61" spans="1:16">
      <c r="A61" s="140"/>
      <c r="B61" s="73"/>
      <c r="C61" s="115"/>
      <c r="D61" s="115"/>
      <c r="E61" s="115"/>
      <c r="F61" s="115"/>
      <c r="G61" s="115"/>
      <c r="H61" s="115"/>
      <c r="I61" s="115"/>
      <c r="J61" s="115"/>
      <c r="K61" s="73"/>
      <c r="L61" s="73"/>
      <c r="M61" s="73"/>
      <c r="N61" s="73"/>
      <c r="O61" s="73"/>
      <c r="P61" s="73"/>
    </row>
    <row r="62" spans="1:16">
      <c r="A62" s="140"/>
      <c r="B62" s="73"/>
      <c r="C62" s="115"/>
      <c r="D62" s="115"/>
      <c r="E62" s="115"/>
      <c r="F62" s="115"/>
      <c r="G62" s="115"/>
      <c r="H62" s="115"/>
      <c r="I62" s="115"/>
      <c r="J62" s="115"/>
      <c r="K62" s="73"/>
      <c r="L62" s="73"/>
      <c r="M62" s="73"/>
      <c r="N62" s="73"/>
      <c r="O62" s="73"/>
      <c r="P62" s="73"/>
    </row>
    <row r="63" spans="1:16">
      <c r="A63" s="140"/>
      <c r="B63" s="73"/>
      <c r="C63" s="115"/>
      <c r="D63" s="115"/>
      <c r="E63" s="115"/>
      <c r="F63" s="115"/>
      <c r="G63" s="115"/>
      <c r="H63" s="115"/>
      <c r="I63" s="115"/>
      <c r="J63" s="115"/>
      <c r="K63" s="73"/>
      <c r="L63" s="73"/>
      <c r="M63" s="73"/>
      <c r="N63" s="73"/>
      <c r="O63" s="73"/>
      <c r="P63" s="73"/>
    </row>
    <row r="64" spans="1:16">
      <c r="A64" s="140"/>
      <c r="B64" s="73"/>
      <c r="C64" s="115"/>
      <c r="D64" s="115"/>
      <c r="E64" s="115"/>
      <c r="F64" s="115"/>
      <c r="G64" s="115"/>
      <c r="H64" s="115"/>
      <c r="I64" s="115"/>
      <c r="J64" s="115"/>
      <c r="K64" s="73"/>
      <c r="L64" s="73"/>
      <c r="M64" s="73"/>
      <c r="N64" s="73"/>
      <c r="O64" s="73"/>
      <c r="P64" s="73"/>
    </row>
    <row r="65" spans="1:16">
      <c r="A65" s="140"/>
      <c r="B65" s="73"/>
      <c r="C65" s="115"/>
      <c r="D65" s="115"/>
      <c r="E65" s="115"/>
      <c r="F65" s="115"/>
      <c r="G65" s="115"/>
      <c r="H65" s="115"/>
      <c r="I65" s="115"/>
      <c r="J65" s="115"/>
      <c r="K65" s="73"/>
      <c r="L65" s="73"/>
      <c r="M65" s="73"/>
      <c r="N65" s="73"/>
      <c r="O65" s="73"/>
      <c r="P65" s="73"/>
    </row>
    <row r="66" spans="1:16">
      <c r="A66" s="68"/>
      <c r="B66" s="31"/>
      <c r="C66" s="39"/>
      <c r="D66" s="39"/>
      <c r="E66" s="39"/>
      <c r="F66" s="39"/>
      <c r="G66" s="39"/>
      <c r="H66" s="39"/>
      <c r="I66" s="39"/>
      <c r="J66" s="39"/>
      <c r="L66" s="73"/>
      <c r="M66" s="73"/>
      <c r="N66" s="73"/>
      <c r="O66" s="73"/>
      <c r="P66" s="73"/>
    </row>
    <row r="67" spans="1:16">
      <c r="A67" s="68"/>
      <c r="B67" s="31"/>
      <c r="C67" s="39"/>
      <c r="D67" s="39"/>
      <c r="E67" s="39"/>
      <c r="F67" s="39"/>
      <c r="G67" s="39"/>
      <c r="H67" s="39"/>
      <c r="I67" s="39"/>
      <c r="J67" s="39"/>
      <c r="L67" s="73"/>
      <c r="M67" s="73"/>
      <c r="N67" s="73"/>
      <c r="O67" s="73"/>
      <c r="P67" s="73"/>
    </row>
    <row r="68" spans="1:16">
      <c r="A68" s="68"/>
      <c r="B68" s="31"/>
      <c r="C68" s="39"/>
      <c r="D68" s="39"/>
      <c r="E68" s="39"/>
      <c r="F68" s="39"/>
      <c r="G68" s="39"/>
      <c r="H68" s="39"/>
      <c r="I68" s="39"/>
      <c r="J68" s="39"/>
      <c r="L68" s="73"/>
      <c r="M68" s="73"/>
      <c r="N68" s="73"/>
      <c r="O68" s="73"/>
      <c r="P68" s="73"/>
    </row>
    <row r="69" spans="1:16">
      <c r="A69" s="68"/>
      <c r="B69" s="31"/>
      <c r="C69" s="39"/>
      <c r="D69" s="39"/>
      <c r="E69" s="39"/>
      <c r="F69" s="39"/>
      <c r="G69" s="39"/>
      <c r="H69" s="39"/>
      <c r="I69" s="39"/>
      <c r="J69" s="39"/>
      <c r="L69" s="73"/>
      <c r="M69" s="73"/>
      <c r="N69" s="73"/>
      <c r="O69" s="73"/>
      <c r="P69" s="73"/>
    </row>
    <row r="70" spans="1:16">
      <c r="A70" s="68"/>
      <c r="B70" s="31"/>
      <c r="C70" s="39"/>
      <c r="D70" s="39"/>
      <c r="E70" s="39"/>
      <c r="F70" s="39"/>
      <c r="G70" s="39"/>
      <c r="H70" s="39"/>
      <c r="I70" s="39"/>
      <c r="J70" s="39"/>
      <c r="L70" s="73"/>
      <c r="M70" s="73"/>
      <c r="N70" s="73"/>
      <c r="O70" s="73"/>
      <c r="P70" s="73"/>
    </row>
    <row r="71" spans="1:16">
      <c r="A71" s="68"/>
      <c r="B71" s="31"/>
      <c r="C71" s="39"/>
      <c r="D71" s="39"/>
      <c r="E71" s="39"/>
      <c r="F71" s="39"/>
      <c r="G71" s="39"/>
      <c r="H71" s="39"/>
      <c r="I71" s="39"/>
      <c r="J71" s="39"/>
      <c r="L71" s="73"/>
      <c r="M71" s="73"/>
      <c r="N71" s="73"/>
      <c r="O71" s="73"/>
      <c r="P71" s="73"/>
    </row>
    <row r="72" spans="1:16">
      <c r="A72" s="68"/>
      <c r="B72" s="31"/>
      <c r="C72" s="39"/>
      <c r="D72" s="39"/>
      <c r="E72" s="39"/>
      <c r="F72" s="39"/>
      <c r="G72" s="39"/>
      <c r="H72" s="39"/>
      <c r="I72" s="39"/>
      <c r="J72" s="39"/>
      <c r="L72" s="73"/>
      <c r="M72" s="73"/>
      <c r="N72" s="73"/>
      <c r="O72" s="73"/>
      <c r="P72" s="73"/>
    </row>
    <row r="73" spans="1:16">
      <c r="A73" s="68"/>
      <c r="B73" s="31"/>
      <c r="C73" s="39"/>
      <c r="D73" s="39"/>
      <c r="E73" s="39"/>
      <c r="F73" s="39"/>
      <c r="G73" s="39"/>
      <c r="H73" s="39"/>
      <c r="I73" s="39"/>
      <c r="J73" s="39"/>
      <c r="L73" s="73"/>
      <c r="M73" s="73"/>
      <c r="N73" s="73"/>
      <c r="O73" s="73"/>
      <c r="P73" s="73"/>
    </row>
    <row r="74" spans="1:16">
      <c r="A74" s="68"/>
      <c r="B74" s="31"/>
      <c r="C74" s="39"/>
      <c r="D74" s="39"/>
      <c r="E74" s="39"/>
      <c r="F74" s="39"/>
      <c r="G74" s="39"/>
      <c r="H74" s="39"/>
      <c r="I74" s="39"/>
      <c r="J74" s="39"/>
      <c r="L74" s="73"/>
      <c r="M74" s="73"/>
      <c r="N74" s="73"/>
      <c r="O74" s="73"/>
      <c r="P74" s="73"/>
    </row>
    <row r="75" spans="1:16">
      <c r="A75" s="68"/>
      <c r="B75" s="31"/>
      <c r="C75" s="39"/>
      <c r="D75" s="39"/>
      <c r="E75" s="39"/>
      <c r="F75" s="39"/>
      <c r="G75" s="39"/>
      <c r="H75" s="39"/>
      <c r="I75" s="39"/>
      <c r="J75" s="39"/>
      <c r="L75" s="73"/>
      <c r="M75" s="73"/>
      <c r="N75" s="73"/>
      <c r="O75" s="73"/>
      <c r="P75" s="73"/>
    </row>
    <row r="76" spans="1:16">
      <c r="A76" s="68"/>
      <c r="B76" s="31"/>
      <c r="C76" s="39"/>
      <c r="D76" s="39"/>
      <c r="E76" s="39"/>
      <c r="F76" s="39"/>
      <c r="G76" s="39"/>
      <c r="H76" s="39"/>
      <c r="I76" s="39"/>
      <c r="J76" s="39"/>
      <c r="L76" s="73"/>
      <c r="M76" s="73"/>
      <c r="N76" s="73"/>
      <c r="O76" s="73"/>
      <c r="P76" s="73"/>
    </row>
    <row r="77" spans="1:16">
      <c r="A77" s="68"/>
      <c r="B77" s="31"/>
      <c r="C77" s="39"/>
      <c r="D77" s="39"/>
      <c r="E77" s="39"/>
      <c r="F77" s="39"/>
      <c r="G77" s="39"/>
      <c r="H77" s="39"/>
      <c r="I77" s="39"/>
      <c r="J77" s="39"/>
    </row>
    <row r="78" spans="1:16">
      <c r="A78" s="68"/>
      <c r="B78" s="31"/>
      <c r="C78" s="39"/>
      <c r="D78" s="39"/>
      <c r="E78" s="39"/>
      <c r="F78" s="39"/>
      <c r="G78" s="39"/>
      <c r="H78" s="39"/>
      <c r="I78" s="39"/>
      <c r="J78" s="39"/>
    </row>
    <row r="79" spans="1:16">
      <c r="A79" s="68"/>
      <c r="B79" s="31"/>
      <c r="C79" s="39"/>
      <c r="D79" s="39"/>
      <c r="E79" s="39"/>
      <c r="F79" s="39"/>
      <c r="G79" s="39"/>
      <c r="H79" s="39"/>
      <c r="I79" s="39"/>
      <c r="J79" s="39"/>
    </row>
    <row r="80" spans="1:16">
      <c r="A80" s="68"/>
      <c r="B80" s="31"/>
      <c r="C80" s="39"/>
      <c r="D80" s="39"/>
      <c r="E80" s="39"/>
      <c r="F80" s="39"/>
      <c r="G80" s="39"/>
      <c r="H80" s="39"/>
      <c r="I80" s="39"/>
      <c r="J80" s="39"/>
    </row>
    <row r="81" spans="1:10">
      <c r="A81" s="68"/>
      <c r="B81" s="31"/>
      <c r="C81" s="39"/>
      <c r="D81" s="39"/>
      <c r="E81" s="39"/>
      <c r="F81" s="39"/>
      <c r="G81" s="39"/>
      <c r="H81" s="39"/>
      <c r="I81" s="39"/>
      <c r="J81" s="39"/>
    </row>
  </sheetData>
  <sheetProtection algorithmName="SHA-512" hashValue="xNcItD4KZPt85Rn8jJRS4HHuFAGRqSlS+SbLa0Tti5FqOmKSYWTHC7JLZzzB7glKviu907s6iE2cKkSDQ0kwFw==" saltValue="0oExA66kIe7Kfaoaluyqzg==" spinCount="100000" sheet="1" objects="1" scenarios="1"/>
  <mergeCells count="23">
    <mergeCell ref="A1:J1"/>
    <mergeCell ref="C42:D42"/>
    <mergeCell ref="E42:J42"/>
    <mergeCell ref="L27:M30"/>
    <mergeCell ref="C41:D41"/>
    <mergeCell ref="C25:C26"/>
    <mergeCell ref="D25:D26"/>
    <mergeCell ref="E25:I25"/>
    <mergeCell ref="B25:B26"/>
    <mergeCell ref="E2:I2"/>
    <mergeCell ref="B2:B3"/>
    <mergeCell ref="N27:N30"/>
    <mergeCell ref="E41:J41"/>
    <mergeCell ref="A2:A4"/>
    <mergeCell ref="L4:P5"/>
    <mergeCell ref="B34:I34"/>
    <mergeCell ref="J25:J26"/>
    <mergeCell ref="O27:O30"/>
    <mergeCell ref="D3:D4"/>
    <mergeCell ref="A34:A42"/>
    <mergeCell ref="A25:A32"/>
    <mergeCell ref="A6:A23"/>
    <mergeCell ref="L26:P26"/>
  </mergeCells>
  <phoneticPr fontId="1" type="noConversion"/>
  <conditionalFormatting sqref="E38:I38">
    <cfRule type="cellIs" dxfId="7" priority="2" operator="lessThan">
      <formula>-5</formula>
    </cfRule>
    <cfRule type="cellIs" dxfId="6" priority="3" operator="greaterThan">
      <formula>5</formula>
    </cfRule>
    <cfRule type="cellIs" dxfId="5" priority="4" operator="between">
      <formula>-5</formula>
      <formula>5</formula>
    </cfRule>
  </conditionalFormatting>
  <conditionalFormatting sqref="L7:P24">
    <cfRule type="cellIs" dxfId="4" priority="1" operator="between">
      <formula>0.0001</formula>
      <formula>999999</formula>
    </cfRule>
  </conditionalFormatting>
  <dataValidations count="18">
    <dataValidation allowBlank="1" showInputMessage="1" showErrorMessage="1" promptTitle="Fertilizer name" prompt="Enter your fertilizer name" sqref="B21:B23" xr:uid="{059DB357-A9BE-4176-BCD2-146BDA2D5544}"/>
    <dataValidation allowBlank="1" showInputMessage="1" showErrorMessage="1" promptTitle="INSTRUCTION" prompt="Select muti-nutrient fertilizer first. Enter the appropriate rate. Check the nutient balance in step 4 to know the amount of other nutrients required" sqref="B25:B26" xr:uid="{47420C4B-981F-435B-9999-B1C6D4A1604D}"/>
    <dataValidation type="decimal" operator="greaterThanOrEqual" showInputMessage="1" promptTitle="INSTRUCTION" prompt="Enter the amount of product you want to apply._x000a_Use the mini calculator to your right (&quot;How much product do I need) to determine a potential product rate" sqref="C27:C31" xr:uid="{B4C6F899-D227-41FE-AC2D-25EB9A917835}">
      <formula1>0</formula1>
    </dataValidation>
    <dataValidation allowBlank="1" showInputMessage="1" showErrorMessage="1" promptTitle="INSTRUCTION" prompt="Use this mini calculator to determine the potential product rate that will supplied required nutrients" sqref="L26" xr:uid="{FFA60338-1A00-42AE-B85D-9F440BAEDC0D}"/>
    <dataValidation type="list" allowBlank="1" showInputMessage="1" showErrorMessage="1" promptTitle="INSTRUCTION" prompt="Select the major nutrient you want to apply with this product" sqref="N27" xr:uid="{E0195773-4796-4FDF-B9E7-DE136F14B531}">
      <formula1>$E$3:$I$3</formula1>
    </dataValidation>
    <dataValidation allowBlank="1" showInputMessage="1" showErrorMessage="1" promptTitle="INSTRUCTION" prompt="Consider applying this rate" sqref="O27" xr:uid="{9B51BE7E-C446-468F-BAE2-485AC015846B}"/>
    <dataValidation allowBlank="1" showInputMessage="1" showErrorMessage="1" promptTitle="INSTRUCTION" prompt="Enter your crop nutrient requirement" sqref="E2:I2 E4:I4" xr:uid="{2C266FD0-1F1B-45FE-9E3B-2E9279C690DC}"/>
    <dataValidation type="list" showInputMessage="1" promptTitle="INSTRUCTION" prompt="Select muti-nutrient fertilizer first. Enter the appropriate rate. Check the nutient balance in step 4 to know the amount of other nutrients required" sqref="B27:B31" xr:uid="{276054B5-2D69-4135-A6DC-DAD8728A9FDF}">
      <formula1>$B$7:$B$24</formula1>
    </dataValidation>
    <dataValidation type="list" showInputMessage="1" promptTitle="INSTRUCTION" prompt="Select your product from the drowndown list" sqref="L27" xr:uid="{A9ADAD1B-F3FF-4249-BF74-DE9294EF5304}">
      <formula1>$B$7:$B$24</formula1>
    </dataValidation>
    <dataValidation allowBlank="1" showInputMessage="1" showErrorMessage="1" promptTitle="INSTRUCTION" prompt="Enter the price of the product" sqref="C6:C23" xr:uid="{F630E807-A353-407A-9853-66D64AFB684F}"/>
    <dataValidation allowBlank="1" showInputMessage="1" showErrorMessage="1" promptTitle="INSTRUCTION" prompt="Use &quot;Custom&quot; product when your product is not listed and enter the corresponding nutrient anayses" sqref="B6" xr:uid="{F2D0E2F8-6991-42D8-B9FF-436A8B1AC1B5}"/>
    <dataValidation allowBlank="1" showInputMessage="1" showErrorMessage="1" promptTitle="INSTRUCTION" prompt="Enter your custom product % N" sqref="E21:E23" xr:uid="{F05573F8-BCB6-48CB-AAA4-4F6BC95D2C9F}"/>
    <dataValidation allowBlank="1" showInputMessage="1" showErrorMessage="1" promptTitle="INSTRUCTION" prompt="Enter your custom product % P2O5" sqref="F21:F23" xr:uid="{C47FCBDD-FC11-4C4F-8833-44A7F8E4BBDC}"/>
    <dataValidation allowBlank="1" showInputMessage="1" showErrorMessage="1" promptTitle="INSTRUCTION" prompt="Enter your custom product % K2O" sqref="G21:G23" xr:uid="{027C16AE-BF6D-4771-84C7-43A4C18A28BD}"/>
    <dataValidation allowBlank="1" showInputMessage="1" showErrorMessage="1" promptTitle="INSTRUCTION" prompt="Enter your custom product % S" sqref="H21:H23" xr:uid="{4F5362B7-EBCA-4776-A2A3-87040DAB48AF}"/>
    <dataValidation allowBlank="1" showInputMessage="1" showErrorMessage="1" promptTitle="INSTRUCTION" prompt="Enter your custom product % Ca" sqref="I21:I23" xr:uid="{26D6A1D0-A101-4E0F-9703-2901A2ACB6CD}"/>
    <dataValidation allowBlank="1" showInputMessage="1" showErrorMessage="1" promptTitle="INSTRUCTION" prompt="Enter your field name" sqref="D3:D4" xr:uid="{3E872E1F-63CA-4D72-8EF9-1057AE6B6D41}"/>
    <dataValidation allowBlank="1" showInputMessage="1" showErrorMessage="1" promptTitle="INSTRUCTION" prompt="Enter your field size" sqref="J4" xr:uid="{A7C651EA-1288-4301-A072-67083BF77C6D}"/>
  </dataValidations>
  <pageMargins left="0.7" right="0.7" top="0.75" bottom="0.75" header="0.3" footer="0.3"/>
  <ignoredErrors>
    <ignoredError sqref="D27:D31 E27:E31 F27:F31 G27:G31 H27:H31 I27:I31 C40 E4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33C72-6436-4398-8C1B-E551397E3345}">
  <dimension ref="A1:Y24"/>
  <sheetViews>
    <sheetView workbookViewId="0">
      <selection activeCell="I18" sqref="I18"/>
    </sheetView>
  </sheetViews>
  <sheetFormatPr defaultColWidth="8.69921875" defaultRowHeight="13.8"/>
  <cols>
    <col min="1" max="11" width="8.69921875" style="15"/>
    <col min="12" max="12" width="18.796875" style="15" customWidth="1"/>
    <col min="13" max="20" width="8.69921875" style="15"/>
    <col min="21" max="21" width="10.09765625" style="15" bestFit="1" customWidth="1"/>
    <col min="22" max="16384" width="8.69921875" style="15"/>
  </cols>
  <sheetData>
    <row r="1" spans="1:25" ht="16.2" thickBot="1">
      <c r="K1" s="16"/>
      <c r="L1" s="25"/>
      <c r="M1" s="26"/>
      <c r="N1" s="26"/>
      <c r="O1" s="198" t="s">
        <v>2</v>
      </c>
      <c r="P1" s="198"/>
      <c r="Q1" s="198"/>
      <c r="R1" s="198"/>
      <c r="S1" s="199"/>
      <c r="T1" s="46"/>
      <c r="U1" s="47"/>
      <c r="V1" s="47"/>
      <c r="W1" s="47"/>
      <c r="X1" s="48"/>
      <c r="Y1" s="17"/>
    </row>
    <row r="2" spans="1:25" ht="17.399999999999999" thickBot="1">
      <c r="D2" s="24"/>
      <c r="E2" s="24"/>
      <c r="F2" s="24"/>
      <c r="G2" s="24"/>
      <c r="H2" s="24"/>
      <c r="K2" s="16"/>
      <c r="L2" s="27"/>
      <c r="M2" s="28"/>
      <c r="N2" s="28"/>
      <c r="O2" s="29" t="s">
        <v>3</v>
      </c>
      <c r="P2" s="29" t="s">
        <v>4</v>
      </c>
      <c r="Q2" s="29" t="s">
        <v>5</v>
      </c>
      <c r="R2" s="29" t="s">
        <v>6</v>
      </c>
      <c r="S2" s="40" t="s">
        <v>7</v>
      </c>
      <c r="T2" s="49" t="s">
        <v>36</v>
      </c>
      <c r="U2" s="50" t="str">
        <f>'Fertilizer Cost Calculator'!L27</f>
        <v>Muriate of potash, KCl (0-0-60)</v>
      </c>
      <c r="V2" s="51" t="str" cm="1">
        <f t="array" ref="V2:V3">'Fertilizer Cost Calculator'!N27:N28</f>
        <v>K2O</v>
      </c>
      <c r="W2" s="51" cm="1">
        <f t="array" ref="W2">IFERROR(IF($U2="","",_xlfn.IFS(V2="N",(O3-O13)/VLOOKUP($U2,'Fertilizer Cost Calculator'!$B$7:$I$23,4,FALSE)*100,V2="P2O5",(P3-P13)/VLOOKUP($U2,'Fertilizer Cost Calculator'!$B$7:$I$23,5,FALSE)*100,V2="K2O",(Q3-Q13)/VLOOKUP($U2,'Fertilizer Cost Calculator'!$B$7:$I$23,6,FALSE)*100,V2="S",(R3-R13)/VLOOKUP($U2,'Fertilizer Cost Calculator'!$B$7:$I$23,7,FALSE)*100,V2="Ca",(S3-S13)/VLOOKUP($U2,'Fertilizer Cost Calculator'!$B$7:$I$23,8,FALSE)*100)),"")</f>
        <v>0</v>
      </c>
      <c r="X2" s="52">
        <f>IFERROR(ROUND(W2,1),"")</f>
        <v>0</v>
      </c>
      <c r="Y2" s="17"/>
    </row>
    <row r="3" spans="1:25" ht="16.2" thickBot="1">
      <c r="A3" s="16"/>
      <c r="B3" s="16"/>
      <c r="C3" s="16"/>
      <c r="D3" s="200" t="s">
        <v>37</v>
      </c>
      <c r="E3" s="201"/>
      <c r="F3" s="201"/>
      <c r="G3" s="201"/>
      <c r="H3" s="202"/>
      <c r="I3" s="17"/>
      <c r="K3" s="16"/>
      <c r="L3" s="27"/>
      <c r="M3" s="28"/>
      <c r="N3" s="28"/>
      <c r="O3" s="30">
        <f>'Fertilizer Cost Calculator'!E4</f>
        <v>100</v>
      </c>
      <c r="P3" s="30">
        <f>'Fertilizer Cost Calculator'!F4</f>
        <v>40</v>
      </c>
      <c r="Q3" s="30">
        <f>'Fertilizer Cost Calculator'!G4</f>
        <v>30</v>
      </c>
      <c r="R3" s="30">
        <f>'Fertilizer Cost Calculator'!H4</f>
        <v>50</v>
      </c>
      <c r="S3" s="41">
        <f>'Fertilizer Cost Calculator'!I4</f>
        <v>20</v>
      </c>
      <c r="T3" s="49">
        <f>'Fertilizer Cost Calculator'!J4</f>
        <v>30</v>
      </c>
      <c r="U3" s="53"/>
      <c r="V3" s="53">
        <v>0</v>
      </c>
      <c r="W3" s="53"/>
      <c r="X3" s="54"/>
      <c r="Y3" s="17"/>
    </row>
    <row r="4" spans="1:25" ht="26.4" customHeight="1" thickBot="1">
      <c r="A4" s="16"/>
      <c r="B4" s="16"/>
      <c r="C4" s="16"/>
      <c r="D4" s="203"/>
      <c r="E4" s="204"/>
      <c r="F4" s="204"/>
      <c r="G4" s="204"/>
      <c r="H4" s="205"/>
      <c r="I4" s="17"/>
      <c r="K4" s="16"/>
      <c r="L4" s="163" t="s">
        <v>29</v>
      </c>
      <c r="M4" s="187" t="s">
        <v>30</v>
      </c>
      <c r="N4" s="187" t="s">
        <v>31</v>
      </c>
      <c r="O4" s="206" t="s">
        <v>38</v>
      </c>
      <c r="P4" s="206"/>
      <c r="Q4" s="206"/>
      <c r="R4" s="206"/>
      <c r="S4" s="207"/>
      <c r="T4" s="194" t="s">
        <v>39</v>
      </c>
      <c r="U4" s="196" t="s">
        <v>40</v>
      </c>
      <c r="V4" s="55"/>
      <c r="W4" s="55"/>
      <c r="X4" s="56"/>
      <c r="Y4" s="17"/>
    </row>
    <row r="5" spans="1:25" ht="16.8">
      <c r="A5" s="16"/>
      <c r="B5" s="16"/>
      <c r="C5" s="16"/>
      <c r="D5" s="33" t="s">
        <v>3</v>
      </c>
      <c r="E5" s="34" t="s">
        <v>4</v>
      </c>
      <c r="F5" s="34" t="s">
        <v>5</v>
      </c>
      <c r="G5" s="34" t="s">
        <v>6</v>
      </c>
      <c r="H5" s="35" t="s">
        <v>7</v>
      </c>
      <c r="I5" s="17"/>
      <c r="K5" s="16"/>
      <c r="L5" s="163"/>
      <c r="M5" s="187"/>
      <c r="N5" s="187"/>
      <c r="O5" s="3" t="s">
        <v>3</v>
      </c>
      <c r="P5" s="3" t="s">
        <v>4</v>
      </c>
      <c r="Q5" s="3" t="s">
        <v>5</v>
      </c>
      <c r="R5" s="3" t="s">
        <v>6</v>
      </c>
      <c r="S5" s="42" t="s">
        <v>7</v>
      </c>
      <c r="T5" s="195"/>
      <c r="U5" s="197"/>
      <c r="V5" s="55"/>
      <c r="W5" s="55"/>
      <c r="X5" s="56"/>
      <c r="Y5" s="17"/>
    </row>
    <row r="6" spans="1:25" ht="15.6">
      <c r="A6" s="16"/>
      <c r="B6" s="16"/>
      <c r="C6" s="16"/>
      <c r="D6" s="5">
        <f>IFERROR(IF('Fertilizer Cost Calculator'!$C7="","",'Fertilizer Cost Calculator'!$C7/('Fertilizer Cost Calculator'!E7/100*2205)),"-")</f>
        <v>0.64576555259785073</v>
      </c>
      <c r="E6" s="5" t="str">
        <f>IFERROR(IF('Fertilizer Cost Calculator'!$C7="","",'Fertilizer Cost Calculator'!$C7/('Fertilizer Cost Calculator'!F7/100*2205)),"-")</f>
        <v>-</v>
      </c>
      <c r="F6" s="5" t="str">
        <f>IFERROR(IF('Fertilizer Cost Calculator'!$C7="","",'Fertilizer Cost Calculator'!$C7/('Fertilizer Cost Calculator'!G7/100*2205)),"-")</f>
        <v>-</v>
      </c>
      <c r="G6" s="5" t="str">
        <f>IFERROR(IF('Fertilizer Cost Calculator'!$C7="","",'Fertilizer Cost Calculator'!$C7/('Fertilizer Cost Calculator'!H7/100*2205)),"-")</f>
        <v>-</v>
      </c>
      <c r="H6" s="62" t="str">
        <f>IFERROR(IF('Fertilizer Cost Calculator'!$C7="","",'Fertilizer Cost Calculator'!$C7/('Fertilizer Cost Calculator'!I7/100*2205)),"-")</f>
        <v>-</v>
      </c>
      <c r="I6" s="17"/>
      <c r="K6" s="16"/>
      <c r="L6" s="19" t="str">
        <f>'Fertilizer Cost Calculator'!B27</f>
        <v>Mono-ammonium phosphate, MAP (11-52-0)</v>
      </c>
      <c r="M6" s="11">
        <f>'Fertilizer Cost Calculator'!C27</f>
        <v>100</v>
      </c>
      <c r="N6" s="12">
        <f>IFERROR(IF(L6="","",ROUND(M6*VLOOKUP(L6,'Fertilizer Cost Calculator'!$B$7:$I$23,3,FALSE),2)),"")</f>
        <v>39.68</v>
      </c>
      <c r="O6" s="9">
        <f>IFERROR(IF($L6="","",$M6*VLOOKUP($L6,'Fertilizer Cost Calculator'!$B$7:$I$23,4,FALSE)/100),"")</f>
        <v>11</v>
      </c>
      <c r="P6" s="9">
        <f>IFERROR(IF($L6="","",$M6*VLOOKUP($L6,'Fertilizer Cost Calculator'!$B$7:$I$23,5,FALSE)/100),"")</f>
        <v>52</v>
      </c>
      <c r="Q6" s="9">
        <f>IFERROR(IF($L6="","",$M6*VLOOKUP($L6,'Fertilizer Cost Calculator'!$B$7:$I$23,6,FALSE)/100),"")</f>
        <v>0</v>
      </c>
      <c r="R6" s="9">
        <f>IFERROR(IF($L6="","",$M6*VLOOKUP($L6,'Fertilizer Cost Calculator'!$B$7:$I$23,7,FALSE)/100),"")</f>
        <v>0</v>
      </c>
      <c r="S6" s="9">
        <f>IFERROR(IF($L6="","",$M6*VLOOKUP($L6,'Fertilizer Cost Calculator'!$B$7:$I$23,8,FALSE)/100),"")</f>
        <v>0</v>
      </c>
      <c r="T6" s="57">
        <f t="shared" ref="T6:T11" si="0">IFERROR(ROUND(IF(L6="","",T$3*M6/2205),2),"")</f>
        <v>1.36</v>
      </c>
      <c r="U6" s="55">
        <f>IFERROR(ROUND(IF(L6="","",T$3*N6),2),"")</f>
        <v>1190.4000000000001</v>
      </c>
      <c r="V6" s="55"/>
      <c r="W6" s="55"/>
      <c r="X6" s="56"/>
      <c r="Y6" s="17"/>
    </row>
    <row r="7" spans="1:25" ht="15.6">
      <c r="A7" s="16"/>
      <c r="B7" s="16"/>
      <c r="C7" s="16"/>
      <c r="D7" s="5">
        <f>IFERROR(IF('Fertilizer Cost Calculator'!$C8="","",'Fertilizer Cost Calculator'!$C8/('Fertilizer Cost Calculator'!E8/100*2205)),"-")</f>
        <v>0.68837058632976988</v>
      </c>
      <c r="E7" s="5" t="str">
        <f>IFERROR(IF('Fertilizer Cost Calculator'!$C8="","",'Fertilizer Cost Calculator'!$C8/('Fertilizer Cost Calculator'!F8/100*2205)),"-")</f>
        <v>-</v>
      </c>
      <c r="F7" s="5" t="str">
        <f>IFERROR(IF('Fertilizer Cost Calculator'!$C8="","",'Fertilizer Cost Calculator'!$C8/('Fertilizer Cost Calculator'!G8/100*2205)),"-")</f>
        <v>-</v>
      </c>
      <c r="G7" s="5" t="str">
        <f>IFERROR(IF('Fertilizer Cost Calculator'!$C8="","",'Fertilizer Cost Calculator'!$C8/('Fertilizer Cost Calculator'!H8/100*2205)),"-")</f>
        <v>-</v>
      </c>
      <c r="H7" s="62" t="str">
        <f>IFERROR(IF('Fertilizer Cost Calculator'!$C8="","",'Fertilizer Cost Calculator'!$C8/('Fertilizer Cost Calculator'!I8/100*2205)),"-")</f>
        <v>-</v>
      </c>
      <c r="I7" s="17"/>
      <c r="K7" s="16"/>
      <c r="L7" s="19" t="str">
        <f>'Fertilizer Cost Calculator'!B28</f>
        <v>Ammonium sulphate (21-0-0-24)</v>
      </c>
      <c r="M7" s="11">
        <f>'Fertilizer Cost Calculator'!C28</f>
        <v>200</v>
      </c>
      <c r="N7" s="12">
        <f>IFERROR(IF(L7="","",ROUND(M7*VLOOKUP(L7,'Fertilizer Cost Calculator'!$B$7:$I$23,3,FALSE),2)),"")</f>
        <v>77.099999999999994</v>
      </c>
      <c r="O7" s="9">
        <f>IFERROR(IF($L7="","",$M7*VLOOKUP($L7,'Fertilizer Cost Calculator'!$B$7:$I$23,4,FALSE)/100),"")</f>
        <v>42</v>
      </c>
      <c r="P7" s="9">
        <f>IFERROR(IF($L7="","",$M7*VLOOKUP($L7,'Fertilizer Cost Calculator'!$B$7:$I$23,5,FALSE)/100),"")</f>
        <v>0</v>
      </c>
      <c r="Q7" s="9">
        <f>IFERROR(IF($L7="","",$M7*VLOOKUP($L7,'Fertilizer Cost Calculator'!$B$7:$I$23,6,FALSE)/100),"")</f>
        <v>0</v>
      </c>
      <c r="R7" s="9">
        <f>IFERROR(IF($L7="","",$M7*VLOOKUP($L7,'Fertilizer Cost Calculator'!$B$7:$I$23,7,FALSE)/100),"")</f>
        <v>48</v>
      </c>
      <c r="S7" s="9">
        <f>IFERROR(IF($L7="","",$M7*VLOOKUP($L7,'Fertilizer Cost Calculator'!$B$7:$I$23,8,FALSE)/100),"")</f>
        <v>0</v>
      </c>
      <c r="T7" s="57">
        <f t="shared" si="0"/>
        <v>2.72</v>
      </c>
      <c r="U7" s="55">
        <f>IFERROR(ROUND(IF(L7="","",T$3*N7),2),"")</f>
        <v>2313</v>
      </c>
      <c r="V7" s="55"/>
      <c r="W7" s="55"/>
      <c r="X7" s="56"/>
      <c r="Y7" s="17"/>
    </row>
    <row r="8" spans="1:25" ht="15.6">
      <c r="A8" s="16"/>
      <c r="B8" s="16"/>
      <c r="C8" s="16"/>
      <c r="D8" s="5">
        <f>IFERROR(IF('Fertilizer Cost Calculator'!$C9="","",'Fertilizer Cost Calculator'!$C9/('Fertilizer Cost Calculator'!E9/100*2205)),"-")</f>
        <v>0.48393341076267909</v>
      </c>
      <c r="E8" s="5" t="str">
        <f>IFERROR(IF('Fertilizer Cost Calculator'!$C9="","",'Fertilizer Cost Calculator'!$C9/('Fertilizer Cost Calculator'!F9/100*2205)),"-")</f>
        <v>-</v>
      </c>
      <c r="F8" s="5" t="str">
        <f>IFERROR(IF('Fertilizer Cost Calculator'!$C9="","",'Fertilizer Cost Calculator'!$C9/('Fertilizer Cost Calculator'!G9/100*2205)),"-")</f>
        <v>-</v>
      </c>
      <c r="G8" s="5" t="str">
        <f>IFERROR(IF('Fertilizer Cost Calculator'!$C9="","",'Fertilizer Cost Calculator'!$C9/('Fertilizer Cost Calculator'!H9/100*2205)),"-")</f>
        <v>-</v>
      </c>
      <c r="H8" s="62" t="str">
        <f>IFERROR(IF('Fertilizer Cost Calculator'!$C9="","",'Fertilizer Cost Calculator'!$C9/('Fertilizer Cost Calculator'!I9/100*2205)),"-")</f>
        <v>-</v>
      </c>
      <c r="I8" s="17"/>
      <c r="K8" s="16"/>
      <c r="L8" s="19" t="str">
        <f>'Fertilizer Cost Calculator'!B29</f>
        <v>Urea (46-0-0)</v>
      </c>
      <c r="M8" s="11">
        <f>'Fertilizer Cost Calculator'!C29</f>
        <v>100</v>
      </c>
      <c r="N8" s="12">
        <f>IFERROR(IF(L8="","",ROUND(M8*VLOOKUP(L8,'Fertilizer Cost Calculator'!$B$7:$I$23,3,FALSE),2)),"")</f>
        <v>29.71</v>
      </c>
      <c r="O8" s="9">
        <f>IFERROR(IF($L8="","",$M8*VLOOKUP($L8,'Fertilizer Cost Calculator'!$B$7:$I$23,4,FALSE)/100),"")</f>
        <v>46</v>
      </c>
      <c r="P8" s="9">
        <f>IFERROR(IF($L8="","",$M8*VLOOKUP($L8,'Fertilizer Cost Calculator'!$B$7:$I$23,5,FALSE)/100),"")</f>
        <v>0</v>
      </c>
      <c r="Q8" s="9">
        <f>IFERROR(IF($L8="","",$M8*VLOOKUP($L8,'Fertilizer Cost Calculator'!$B$7:$I$23,6,FALSE)/100),"")</f>
        <v>0</v>
      </c>
      <c r="R8" s="9">
        <f>IFERROR(IF($L8="","",$M8*VLOOKUP($L8,'Fertilizer Cost Calculator'!$B$7:$I$23,7,FALSE)/100),"")</f>
        <v>0</v>
      </c>
      <c r="S8" s="9">
        <f>IFERROR(IF($L8="","",$M8*VLOOKUP($L8,'Fertilizer Cost Calculator'!$B$7:$I$23,8,FALSE)/100),"")</f>
        <v>0</v>
      </c>
      <c r="T8" s="57">
        <f t="shared" si="0"/>
        <v>1.36</v>
      </c>
      <c r="U8" s="55">
        <f>IFERROR(ROUND(IF(L8="","",T$3*N8),2),"")</f>
        <v>891.3</v>
      </c>
      <c r="V8" s="55"/>
      <c r="W8" s="55"/>
      <c r="X8" s="56"/>
      <c r="Y8" s="17"/>
    </row>
    <row r="9" spans="1:25" ht="15.6">
      <c r="A9" s="16"/>
      <c r="B9" s="16"/>
      <c r="C9" s="16"/>
      <c r="D9" s="5">
        <f>IFERROR(IF('Fertilizer Cost Calculator'!$C10="","",'Fertilizer Cost Calculator'!$C10/('Fertilizer Cost Calculator'!E10/100*2205)),"-")</f>
        <v>0.83366680005335458</v>
      </c>
      <c r="E9" s="5" t="str">
        <f>IFERROR(IF('Fertilizer Cost Calculator'!$C10="","",'Fertilizer Cost Calculator'!$C10/('Fertilizer Cost Calculator'!F10/100*2205)),"-")</f>
        <v>-</v>
      </c>
      <c r="F9" s="5" t="str">
        <f>IFERROR(IF('Fertilizer Cost Calculator'!$C10="","",'Fertilizer Cost Calculator'!$C10/('Fertilizer Cost Calculator'!G10/100*2205)),"-")</f>
        <v>-</v>
      </c>
      <c r="G9" s="5" t="str">
        <f>IFERROR(IF('Fertilizer Cost Calculator'!$C10="","",'Fertilizer Cost Calculator'!$C10/('Fertilizer Cost Calculator'!H10/100*2205)),"-")</f>
        <v>-</v>
      </c>
      <c r="H9" s="62" t="str">
        <f>IFERROR(IF('Fertilizer Cost Calculator'!$C10="","",'Fertilizer Cost Calculator'!$C10/('Fertilizer Cost Calculator'!I10/100*2205)),"-")</f>
        <v>-</v>
      </c>
      <c r="I9" s="17"/>
      <c r="K9" s="16"/>
      <c r="L9" s="19" t="str">
        <f>'Fertilizer Cost Calculator'!B30</f>
        <v>Muriate of potash, KCl (0-0-60)</v>
      </c>
      <c r="M9" s="11">
        <f>'Fertilizer Cost Calculator'!C30</f>
        <v>50</v>
      </c>
      <c r="N9" s="12">
        <f>IFERROR(IF(L9="","",ROUND(M9*VLOOKUP(L9,'Fertilizer Cost Calculator'!$B$7:$I$23,3,FALSE),2)),"")</f>
        <v>13.38</v>
      </c>
      <c r="O9" s="9">
        <f>IFERROR(IF($L9="","",$M9*VLOOKUP($L9,'Fertilizer Cost Calculator'!$B$7:$I$23,4,FALSE)/100),"")</f>
        <v>0</v>
      </c>
      <c r="P9" s="9">
        <f>IFERROR(IF($L9="","",$M9*VLOOKUP($L9,'Fertilizer Cost Calculator'!$B$7:$I$23,5,FALSE)/100),"")</f>
        <v>0</v>
      </c>
      <c r="Q9" s="9">
        <f>IFERROR(IF($L9="","",$M9*VLOOKUP($L9,'Fertilizer Cost Calculator'!$B$7:$I$23,6,FALSE)/100),"")</f>
        <v>30</v>
      </c>
      <c r="R9" s="9">
        <f>IFERROR(IF($L9="","",$M9*VLOOKUP($L9,'Fertilizer Cost Calculator'!$B$7:$I$23,7,FALSE)/100),"")</f>
        <v>0</v>
      </c>
      <c r="S9" s="9">
        <f>IFERROR(IF($L9="","",$M9*VLOOKUP($L9,'Fertilizer Cost Calculator'!$B$7:$I$23,8,FALSE)/100),"")</f>
        <v>0</v>
      </c>
      <c r="T9" s="57">
        <f t="shared" si="0"/>
        <v>0.68</v>
      </c>
      <c r="U9" s="55">
        <f>IFERROR(ROUND(IF(L9="","",T$3*N9),2),"")</f>
        <v>401.4</v>
      </c>
      <c r="V9" s="55"/>
      <c r="W9" s="55"/>
      <c r="X9" s="56"/>
      <c r="Y9" s="17"/>
    </row>
    <row r="10" spans="1:25" ht="15.6">
      <c r="A10" s="16"/>
      <c r="B10" s="16"/>
      <c r="C10" s="16"/>
      <c r="D10" s="5">
        <f>IFERROR(IF('Fertilizer Cost Calculator'!$C11="","",'Fertilizer Cost Calculator'!$C11/('Fertilizer Cost Calculator'!E11/100*2205)),"-")</f>
        <v>0.82457225314368165</v>
      </c>
      <c r="E10" s="5" t="str">
        <f>IFERROR(IF('Fertilizer Cost Calculator'!$C11="","",'Fertilizer Cost Calculator'!$C11/('Fertilizer Cost Calculator'!F11/100*2205)),"-")</f>
        <v>-</v>
      </c>
      <c r="F10" s="5" t="str">
        <f>IFERROR(IF('Fertilizer Cost Calculator'!$C11="","",'Fertilizer Cost Calculator'!$C11/('Fertilizer Cost Calculator'!G11/100*2205)),"-")</f>
        <v>-</v>
      </c>
      <c r="G10" s="5" t="str">
        <f>IFERROR(IF('Fertilizer Cost Calculator'!$C11="","",'Fertilizer Cost Calculator'!$C11/('Fertilizer Cost Calculator'!H11/100*2205)),"-")</f>
        <v>-</v>
      </c>
      <c r="H10" s="62" t="str">
        <f>IFERROR(IF('Fertilizer Cost Calculator'!$C11="","",'Fertilizer Cost Calculator'!$C11/('Fertilizer Cost Calculator'!I11/100*2205)),"-")</f>
        <v>-</v>
      </c>
      <c r="I10" s="17"/>
      <c r="K10" s="16"/>
      <c r="L10" s="19">
        <f>'Fertilizer Cost Calculator'!B31</f>
        <v>0</v>
      </c>
      <c r="M10" s="11">
        <f>'Fertilizer Cost Calculator'!C31</f>
        <v>0</v>
      </c>
      <c r="N10" s="12" t="str">
        <f>IFERROR(IF(L10="","",ROUND(M10*VLOOKUP(L10,'Fertilizer Cost Calculator'!$B$7:$I$23,3,FALSE),2)),"")</f>
        <v/>
      </c>
      <c r="O10" s="9" t="str">
        <f>IFERROR(IF($L10="","",$M10*VLOOKUP($L10,'Fertilizer Cost Calculator'!$B$7:$I$23,4,FALSE)/100),"")</f>
        <v/>
      </c>
      <c r="P10" s="9" t="str">
        <f>IFERROR(IF($L10="","",$M10*VLOOKUP($L10,'Fertilizer Cost Calculator'!$B$7:$I$23,5,FALSE)/100),"")</f>
        <v/>
      </c>
      <c r="Q10" s="9" t="str">
        <f>IFERROR(IF($L10="","",$M10*VLOOKUP($L10,'Fertilizer Cost Calculator'!$B$7:$I$23,6,FALSE)/100),"")</f>
        <v/>
      </c>
      <c r="R10" s="9" t="str">
        <f>IFERROR(IF($L10="","",$M10*VLOOKUP($L10,'Fertilizer Cost Calculator'!$B$7:$I$23,7,FALSE)/100),"")</f>
        <v/>
      </c>
      <c r="S10" s="9" t="str">
        <f>IFERROR(IF($L10="","",$M10*VLOOKUP($L10,'Fertilizer Cost Calculator'!$B$7:$I$23,8,FALSE)/100),"")</f>
        <v/>
      </c>
      <c r="T10" s="57">
        <f t="shared" si="0"/>
        <v>0</v>
      </c>
      <c r="U10" s="55" t="str">
        <f>IFERROR(ROUND(IF(L10="","",T$3*N10),2),"")</f>
        <v/>
      </c>
      <c r="V10" s="55"/>
      <c r="W10" s="55"/>
      <c r="X10" s="56"/>
      <c r="Y10" s="17"/>
    </row>
    <row r="11" spans="1:25" ht="15.6">
      <c r="A11" s="16"/>
      <c r="B11" s="16"/>
      <c r="C11" s="16"/>
      <c r="D11" s="5">
        <f>IFERROR(IF('Fertilizer Cost Calculator'!$C12="","",'Fertilizer Cost Calculator'!$C12/('Fertilizer Cost Calculator'!E12/100*2205)),"-")</f>
        <v>1.1337868480725624</v>
      </c>
      <c r="E11" s="5" t="str">
        <f>IFERROR(IF('Fertilizer Cost Calculator'!$C12="","",'Fertilizer Cost Calculator'!$C12/('Fertilizer Cost Calculator'!F12/100*2205)),"-")</f>
        <v>-</v>
      </c>
      <c r="F11" s="5" t="str">
        <f>IFERROR(IF('Fertilizer Cost Calculator'!$C12="","",'Fertilizer Cost Calculator'!$C12/('Fertilizer Cost Calculator'!G12/100*2205)),"-")</f>
        <v>-</v>
      </c>
      <c r="G11" s="5" t="str">
        <f>IFERROR(IF('Fertilizer Cost Calculator'!$C12="","",'Fertilizer Cost Calculator'!$C12/('Fertilizer Cost Calculator'!H12/100*2205)),"-")</f>
        <v>-</v>
      </c>
      <c r="H11" s="62">
        <f>IFERROR(IF('Fertilizer Cost Calculator'!$C12="","",'Fertilizer Cost Calculator'!$C12/('Fertilizer Cost Calculator'!I12/100*2205)),"-")</f>
        <v>3.8265306122448979</v>
      </c>
      <c r="I11" s="17"/>
      <c r="K11" s="16"/>
      <c r="L11" s="19" t="s">
        <v>41</v>
      </c>
      <c r="M11" s="32">
        <f>SUM(M6:M10)</f>
        <v>450</v>
      </c>
      <c r="N11" s="13">
        <f>ROUND(SUM(N6:N10),2)</f>
        <v>159.87</v>
      </c>
      <c r="P11" s="11"/>
      <c r="Q11" s="11"/>
      <c r="R11" s="11"/>
      <c r="S11" s="44"/>
      <c r="T11" s="57">
        <f t="shared" si="0"/>
        <v>6.12</v>
      </c>
      <c r="U11" s="58">
        <f>SUM(U6:U10)</f>
        <v>4796.0999999999995</v>
      </c>
      <c r="V11" s="55"/>
      <c r="W11" s="55"/>
      <c r="X11" s="56"/>
      <c r="Y11" s="17"/>
    </row>
    <row r="12" spans="1:25" ht="15.6">
      <c r="A12" s="16"/>
      <c r="B12" s="16"/>
      <c r="C12" s="16"/>
      <c r="D12" s="5">
        <f>IFERROR(IF('Fertilizer Cost Calculator'!$C13="","",'Fertilizer Cost Calculator'!$C13/('Fertilizer Cost Calculator'!E13/100*2205)),"-")</f>
        <v>3.6075036075036073</v>
      </c>
      <c r="E12" s="5">
        <f>IFERROR(IF('Fertilizer Cost Calculator'!$C13="","",'Fertilizer Cost Calculator'!$C13/('Fertilizer Cost Calculator'!F13/100*2205)),"-")</f>
        <v>0.76312576312576308</v>
      </c>
      <c r="F12" s="5" t="str">
        <f>IFERROR(IF('Fertilizer Cost Calculator'!$C13="","",'Fertilizer Cost Calculator'!$C13/('Fertilizer Cost Calculator'!G13/100*2205)),"-")</f>
        <v>-</v>
      </c>
      <c r="G12" s="5" t="str">
        <f>IFERROR(IF('Fertilizer Cost Calculator'!$C13="","",'Fertilizer Cost Calculator'!$C13/('Fertilizer Cost Calculator'!H13/100*2205)),"-")</f>
        <v>-</v>
      </c>
      <c r="H12" s="62" t="str">
        <f>IFERROR(IF('Fertilizer Cost Calculator'!$C13="","",'Fertilizer Cost Calculator'!$C13/('Fertilizer Cost Calculator'!I13/100*2205)),"-")</f>
        <v>-</v>
      </c>
      <c r="I12" s="17"/>
      <c r="K12" s="16"/>
      <c r="L12" s="19"/>
      <c r="M12" s="32" t="str">
        <f>CONCATENATE(M11," lb/ac")</f>
        <v>450 lb/ac</v>
      </c>
      <c r="N12" s="11" t="str">
        <f>CONCATENATE("$",N11,"/ac")</f>
        <v>$159.87/ac</v>
      </c>
      <c r="O12" s="11"/>
      <c r="P12" s="11"/>
      <c r="Q12" s="11"/>
      <c r="R12" s="11"/>
      <c r="S12" s="44"/>
      <c r="T12" s="49" t="str">
        <f>CONCATENATE(T11," tonnes")</f>
        <v>6.12 tonnes</v>
      </c>
      <c r="U12" s="55"/>
      <c r="V12" s="55"/>
      <c r="W12" s="55"/>
      <c r="X12" s="56"/>
      <c r="Y12" s="17"/>
    </row>
    <row r="13" spans="1:25" ht="15.6">
      <c r="A13" s="16"/>
      <c r="B13" s="16"/>
      <c r="C13" s="16"/>
      <c r="D13" s="5" t="str">
        <f>IFERROR(IF('Fertilizer Cost Calculator'!$C14="","",'Fertilizer Cost Calculator'!$C14/('Fertilizer Cost Calculator'!E14/100*2205)),"-")</f>
        <v>-</v>
      </c>
      <c r="E13" s="5">
        <f>IFERROR(IF('Fertilizer Cost Calculator'!$C14="","",'Fertilizer Cost Calculator'!$C14/('Fertilizer Cost Calculator'!F14/100*2205)),"-")</f>
        <v>0.81336882579118597</v>
      </c>
      <c r="F13" s="5" t="str">
        <f>IFERROR(IF('Fertilizer Cost Calculator'!$C14="","",'Fertilizer Cost Calculator'!$C14/('Fertilizer Cost Calculator'!G14/100*2205)),"-")</f>
        <v>-</v>
      </c>
      <c r="G13" s="5" t="str">
        <f>IFERROR(IF('Fertilizer Cost Calculator'!$C14="","",'Fertilizer Cost Calculator'!$C14/('Fertilizer Cost Calculator'!H14/100*2205)),"-")</f>
        <v>-</v>
      </c>
      <c r="H13" s="62" t="str">
        <f>IFERROR(IF('Fertilizer Cost Calculator'!$C14="","",'Fertilizer Cost Calculator'!$C14/('Fertilizer Cost Calculator'!I14/100*2205)),"-")</f>
        <v>-</v>
      </c>
      <c r="I13" s="17"/>
      <c r="K13" s="16"/>
      <c r="L13" s="20" t="s">
        <v>42</v>
      </c>
      <c r="M13" s="11"/>
      <c r="N13" s="10"/>
      <c r="O13" s="9">
        <f>SUM(O6:O10)</f>
        <v>99</v>
      </c>
      <c r="P13" s="9">
        <f>SUM(P6:P10)</f>
        <v>52</v>
      </c>
      <c r="Q13" s="9">
        <f>SUM(Q6:Q10)</f>
        <v>30</v>
      </c>
      <c r="R13" s="9">
        <f>SUM(R6:R10)</f>
        <v>48</v>
      </c>
      <c r="S13" s="43">
        <f>SUM(S6:S10)</f>
        <v>0</v>
      </c>
      <c r="T13" s="49"/>
      <c r="U13" s="55"/>
      <c r="V13" s="55"/>
      <c r="W13" s="55"/>
      <c r="X13" s="56"/>
      <c r="Y13" s="17"/>
    </row>
    <row r="14" spans="1:25" ht="15.6">
      <c r="A14" s="16"/>
      <c r="B14" s="16"/>
      <c r="C14" s="16"/>
      <c r="D14" s="5">
        <f>IFERROR(IF('Fertilizer Cost Calculator'!$C15="","",'Fertilizer Cost Calculator'!$C15/('Fertilizer Cost Calculator'!E15/100*2205)),"-")</f>
        <v>1.9526329050138576</v>
      </c>
      <c r="E14" s="5">
        <f>IFERROR(IF('Fertilizer Cost Calculator'!$C15="","",'Fertilizer Cost Calculator'!$C15/('Fertilizer Cost Calculator'!F15/100*2205)),"-")</f>
        <v>0.76407374544020501</v>
      </c>
      <c r="F14" s="5" t="str">
        <f>IFERROR(IF('Fertilizer Cost Calculator'!$C15="","",'Fertilizer Cost Calculator'!$C15/('Fertilizer Cost Calculator'!G15/100*2205)),"-")</f>
        <v>-</v>
      </c>
      <c r="G14" s="5" t="str">
        <f>IFERROR(IF('Fertilizer Cost Calculator'!$C15="","",'Fertilizer Cost Calculator'!$C15/('Fertilizer Cost Calculator'!H15/100*2205)),"-")</f>
        <v>-</v>
      </c>
      <c r="H14" s="62" t="str">
        <f>IFERROR(IF('Fertilizer Cost Calculator'!$C15="","",'Fertilizer Cost Calculator'!$C15/('Fertilizer Cost Calculator'!I15/100*2205)),"-")</f>
        <v>-</v>
      </c>
      <c r="I14" s="17"/>
      <c r="K14" s="16"/>
      <c r="L14" s="20" t="s">
        <v>43</v>
      </c>
      <c r="M14" s="11"/>
      <c r="N14" s="10"/>
      <c r="O14" s="9">
        <f>O13-O3</f>
        <v>-1</v>
      </c>
      <c r="P14" s="9">
        <f>P13-P3</f>
        <v>12</v>
      </c>
      <c r="Q14" s="9">
        <f>Q13-Q3</f>
        <v>0</v>
      </c>
      <c r="R14" s="9">
        <f>R13-R3</f>
        <v>-2</v>
      </c>
      <c r="S14" s="43">
        <f>S13-S3</f>
        <v>-20</v>
      </c>
      <c r="T14" s="49"/>
      <c r="U14" s="55"/>
      <c r="V14" s="55"/>
      <c r="W14" s="55"/>
      <c r="X14" s="56"/>
      <c r="Y14" s="17"/>
    </row>
    <row r="15" spans="1:25" ht="15.6">
      <c r="A15" s="16"/>
      <c r="B15" s="16"/>
      <c r="C15" s="16"/>
      <c r="D15" s="5" t="str">
        <f>IFERROR(IF('Fertilizer Cost Calculator'!$C16="","",'Fertilizer Cost Calculator'!$C16/('Fertilizer Cost Calculator'!E16/100*2205)),"-")</f>
        <v>-</v>
      </c>
      <c r="E15" s="5" t="str">
        <f>IFERROR(IF('Fertilizer Cost Calculator'!$C16="","",'Fertilizer Cost Calculator'!$C16/('Fertilizer Cost Calculator'!F16/100*2205)),"-")</f>
        <v>-</v>
      </c>
      <c r="F15" s="5">
        <f>IFERROR(IF('Fertilizer Cost Calculator'!$C16="","",'Fertilizer Cost Calculator'!$C16/('Fertilizer Cost Calculator'!G16/100*2205)),"-")</f>
        <v>0.44595616024187451</v>
      </c>
      <c r="G15" s="5" t="str">
        <f>IFERROR(IF('Fertilizer Cost Calculator'!$C16="","",'Fertilizer Cost Calculator'!$C16/('Fertilizer Cost Calculator'!H16/100*2205)),"-")</f>
        <v>-</v>
      </c>
      <c r="H15" s="62" t="str">
        <f>IFERROR(IF('Fertilizer Cost Calculator'!$C16="","",'Fertilizer Cost Calculator'!$C16/('Fertilizer Cost Calculator'!I16/100*2205)),"-")</f>
        <v>-</v>
      </c>
      <c r="I15" s="17"/>
      <c r="K15" s="16"/>
      <c r="L15" s="20" t="s">
        <v>44</v>
      </c>
      <c r="M15" s="11"/>
      <c r="N15" s="14">
        <f>COUNTA('Fertilizer Cost Calculator'!B27:B31)</f>
        <v>4</v>
      </c>
      <c r="O15" s="11" t="str" cm="1">
        <f t="array" ref="O15">_xlfn.IFS(O14 &lt;-5,"Deficit",O14 &gt; 5,"Surplus",TRUE,"Okay")</f>
        <v>Okay</v>
      </c>
      <c r="P15" s="11" t="str" cm="1">
        <f t="array" ref="P15">_xlfn.IFS(P14 &lt;-5,"Deficit",P14 &gt; 5,"Surplus",TRUE,"Okay")</f>
        <v>Surplus</v>
      </c>
      <c r="Q15" s="11" t="str" cm="1">
        <f t="array" ref="Q15">_xlfn.IFS(Q14 &lt;-5,"Deficit",Q14 &gt; 5,"Surplus",TRUE,"Okay")</f>
        <v>Okay</v>
      </c>
      <c r="R15" s="11" t="str" cm="1">
        <f t="array" ref="R15">_xlfn.IFS(R14 &lt;-5,"Deficit",R14 &gt; 5,"Surplus",TRUE,"Okay")</f>
        <v>Okay</v>
      </c>
      <c r="S15" s="44" t="str" cm="1">
        <f t="array" ref="S15">_xlfn.IFS(S14 &lt;-5,"Deficit",S14 &gt; 5,"Surplus",TRUE,"Okay")</f>
        <v>Deficit</v>
      </c>
      <c r="T15" s="49"/>
      <c r="U15" s="55"/>
      <c r="V15" s="55"/>
      <c r="W15" s="55"/>
      <c r="X15" s="56"/>
      <c r="Y15" s="17"/>
    </row>
    <row r="16" spans="1:25" ht="16.2" thickBot="1">
      <c r="A16" s="16"/>
      <c r="B16" s="16"/>
      <c r="C16" s="16"/>
      <c r="D16" s="5">
        <f>IFERROR(IF('Fertilizer Cost Calculator'!$C17="","",'Fertilizer Cost Calculator'!$C17/('Fertilizer Cost Calculator'!E17/100*2205)),"-")</f>
        <v>1.8356548968793869</v>
      </c>
      <c r="E16" s="5" t="str">
        <f>IFERROR(IF('Fertilizer Cost Calculator'!$C17="","",'Fertilizer Cost Calculator'!$C17/('Fertilizer Cost Calculator'!F17/100*2205)),"-")</f>
        <v>-</v>
      </c>
      <c r="F16" s="5" t="str">
        <f>IFERROR(IF('Fertilizer Cost Calculator'!$C17="","",'Fertilizer Cost Calculator'!$C17/('Fertilizer Cost Calculator'!G17/100*2205)),"-")</f>
        <v>-</v>
      </c>
      <c r="G16" s="5">
        <f>IFERROR(IF('Fertilizer Cost Calculator'!$C17="","",'Fertilizer Cost Calculator'!$C17/('Fertilizer Cost Calculator'!H17/100*2205)),"-")</f>
        <v>1.6061980347694635</v>
      </c>
      <c r="H16" s="62" t="str">
        <f>IFERROR(IF('Fertilizer Cost Calculator'!$C17="","",'Fertilizer Cost Calculator'!$C17/('Fertilizer Cost Calculator'!I17/100*2205)),"-")</f>
        <v>-</v>
      </c>
      <c r="I16" s="17"/>
      <c r="K16" s="16"/>
      <c r="L16" s="21"/>
      <c r="M16" s="22"/>
      <c r="N16" s="23"/>
      <c r="O16" s="22"/>
      <c r="P16" s="22"/>
      <c r="Q16" s="22"/>
      <c r="R16" s="22"/>
      <c r="S16" s="45"/>
      <c r="T16" s="49"/>
      <c r="U16" s="55"/>
      <c r="V16" s="55"/>
      <c r="W16" s="55"/>
      <c r="X16" s="56"/>
      <c r="Y16" s="17"/>
    </row>
    <row r="17" spans="1:25" ht="16.2" customHeight="1">
      <c r="A17" s="16"/>
      <c r="B17" s="16"/>
      <c r="C17" s="16"/>
      <c r="D17" s="5" t="str">
        <f>IFERROR(IF('Fertilizer Cost Calculator'!$C18="","",'Fertilizer Cost Calculator'!$C18/('Fertilizer Cost Calculator'!E18/100*2205)),"-")</f>
        <v>-</v>
      </c>
      <c r="E17" s="5" t="str">
        <f>IFERROR(IF('Fertilizer Cost Calculator'!$C18="","",'Fertilizer Cost Calculator'!$C18/('Fertilizer Cost Calculator'!F18/100*2205)),"-")</f>
        <v>-</v>
      </c>
      <c r="F17" s="5" t="str">
        <f>IFERROR(IF('Fertilizer Cost Calculator'!$C18="","",'Fertilizer Cost Calculator'!$C18/('Fertilizer Cost Calculator'!G18/100*2205)),"-")</f>
        <v>-</v>
      </c>
      <c r="G17" s="5">
        <f>IFERROR(IF('Fertilizer Cost Calculator'!$C18="","",'Fertilizer Cost Calculator'!$C18/('Fertilizer Cost Calculator'!H18/100*2205)),"-")</f>
        <v>0.16376921138825901</v>
      </c>
      <c r="H17" s="62" t="str">
        <f>IFERROR(IF('Fertilizer Cost Calculator'!$C18="","",'Fertilizer Cost Calculator'!$C18/('Fertilizer Cost Calculator'!I18/100*2205)),"-")</f>
        <v>-</v>
      </c>
      <c r="I17" s="17"/>
      <c r="K17" s="16"/>
      <c r="L17" s="191" t="str">
        <f>CONCATENATE(IF(BackEnd!N6="","",CONCATENATE('Fertilizer Cost Calculator'!B27," ($",BackEnd!N6,"/ac)")),", ",IF(BackEnd!N7="","",CONCATENATE('Fertilizer Cost Calculator'!B28," ($",BackEnd!N7,"/ac)")),", ",IF(BackEnd!N8="","",CONCATENATE('Fertilizer Cost Calculator'!B29," ($",BackEnd!N8,"/ac)")),", ",IF('Fertilizer Cost Calculator'!D30="","",CONCATENATE('Fertilizer Cost Calculator'!B30," ($",'Fertilizer Cost Calculator'!D30,"/ac)")),", ",IF('Fertilizer Cost Calculator'!D31="","",CONCATENATE('Fertilizer Cost Calculator'!B31," ($",'Fertilizer Cost Calculator'!D31,"/ac)")))</f>
        <v xml:space="preserve">Mono-ammonium phosphate, MAP (11-52-0) ($39.68/ac), Ammonium sulphate (21-0-0-24) ($77.1/ac), Urea (46-0-0) ($29.71/ac), Muriate of potash, KCl (0-0-60) ($13.38/ac), </v>
      </c>
      <c r="M17" s="191"/>
      <c r="N17" s="191"/>
      <c r="O17" s="191"/>
      <c r="P17" s="191"/>
      <c r="Q17" s="191"/>
      <c r="R17" s="191"/>
      <c r="S17" s="191"/>
      <c r="T17" s="49"/>
      <c r="U17" s="55"/>
      <c r="V17" s="55"/>
      <c r="W17" s="55"/>
      <c r="X17" s="56"/>
      <c r="Y17" s="17"/>
    </row>
    <row r="18" spans="1:25" ht="16.2" thickBot="1">
      <c r="A18" s="16"/>
      <c r="B18" s="16"/>
      <c r="C18" s="16"/>
      <c r="D18" s="5" t="str">
        <f>IFERROR(IF('Fertilizer Cost Calculator'!$C19="","",'Fertilizer Cost Calculator'!$C19/('Fertilizer Cost Calculator'!E19/100*2205)),"-")</f>
        <v>-</v>
      </c>
      <c r="E18" s="5" t="str">
        <f>IFERROR(IF('Fertilizer Cost Calculator'!$C19="","",'Fertilizer Cost Calculator'!$C19/('Fertilizer Cost Calculator'!F19/100*2205)),"-")</f>
        <v>-</v>
      </c>
      <c r="F18" s="5" t="str">
        <f>IFERROR(IF('Fertilizer Cost Calculator'!$C19="","",'Fertilizer Cost Calculator'!$C19/('Fertilizer Cost Calculator'!G19/100*2205)),"-")</f>
        <v>-</v>
      </c>
      <c r="G18" s="5">
        <f>IFERROR(IF('Fertilizer Cost Calculator'!$C19="","",'Fertilizer Cost Calculator'!$C19/('Fertilizer Cost Calculator'!H19/100*2205)),"-")</f>
        <v>0.56689342403628118</v>
      </c>
      <c r="H18" s="62">
        <f>IFERROR(IF('Fertilizer Cost Calculator'!$C19="","",'Fertilizer Cost Calculator'!$C19/('Fertilizer Cost Calculator'!I19/100*2205)),"-")</f>
        <v>0.44365572315882873</v>
      </c>
      <c r="I18" s="17"/>
      <c r="K18" s="16"/>
      <c r="L18" s="192"/>
      <c r="M18" s="192"/>
      <c r="N18" s="192"/>
      <c r="O18" s="192"/>
      <c r="P18" s="192"/>
      <c r="Q18" s="192"/>
      <c r="R18" s="192"/>
      <c r="S18" s="192"/>
      <c r="T18" s="59"/>
      <c r="U18" s="60"/>
      <c r="V18" s="60"/>
      <c r="W18" s="60"/>
      <c r="X18" s="61"/>
      <c r="Y18" s="17"/>
    </row>
    <row r="19" spans="1:25" ht="15.6">
      <c r="A19" s="16"/>
      <c r="B19" s="16"/>
      <c r="C19" s="16"/>
      <c r="D19" s="5" t="str">
        <f>IFERROR(IF('Fertilizer Cost Calculator'!$C20="","",'Fertilizer Cost Calculator'!$C20/('Fertilizer Cost Calculator'!E20/100*2205)),"-")</f>
        <v>-</v>
      </c>
      <c r="E19" s="5" t="str">
        <f>IFERROR(IF('Fertilizer Cost Calculator'!$C20="","",'Fertilizer Cost Calculator'!$C20/('Fertilizer Cost Calculator'!F20/100*2205)),"-")</f>
        <v>-</v>
      </c>
      <c r="F19" s="5">
        <f>IFERROR(IF('Fertilizer Cost Calculator'!$C20="","",'Fertilizer Cost Calculator'!$C20/('Fertilizer Cost Calculator'!G20/100*2205)),"-")</f>
        <v>4.9886621315192746E-2</v>
      </c>
      <c r="G19" s="5">
        <f>IFERROR(IF('Fertilizer Cost Calculator'!$C20="","",'Fertilizer Cost Calculator'!$C20/('Fertilizer Cost Calculator'!H20/100*2205)),"-")</f>
        <v>0.13857394809775764</v>
      </c>
      <c r="H19" s="62" t="str">
        <f>IFERROR(IF('Fertilizer Cost Calculator'!$C20="","",'Fertilizer Cost Calculator'!$C20/('Fertilizer Cost Calculator'!I20/100*2205)),"-")</f>
        <v>-</v>
      </c>
      <c r="I19" s="17"/>
      <c r="L19" s="193"/>
      <c r="M19" s="193"/>
      <c r="N19" s="193"/>
      <c r="O19" s="193"/>
      <c r="P19" s="193"/>
      <c r="Q19" s="193"/>
      <c r="R19" s="193"/>
      <c r="S19" s="193"/>
      <c r="T19" s="18"/>
      <c r="U19" s="18"/>
      <c r="V19" s="18"/>
      <c r="W19" s="18"/>
      <c r="X19" s="18"/>
    </row>
    <row r="20" spans="1:25" ht="15.6">
      <c r="D20" s="5">
        <f>IFERROR(IF('Fertilizer Cost Calculator'!$C21="","",'Fertilizer Cost Calculator'!$C21/('Fertilizer Cost Calculator'!E21/100*2205)),"-")</f>
        <v>1.7006802721088434</v>
      </c>
      <c r="E20" s="5">
        <f>IFERROR(IF('Fertilizer Cost Calculator'!$C21="","",'Fertilizer Cost Calculator'!$C21/('Fertilizer Cost Calculator'!F21/100*2205)),"-")</f>
        <v>1.8896447467876041</v>
      </c>
      <c r="F20" s="5" t="str">
        <f>IFERROR(IF('Fertilizer Cost Calculator'!$C21="","",'Fertilizer Cost Calculator'!$C21/('Fertilizer Cost Calculator'!G21/100*2205)),"-")</f>
        <v>-</v>
      </c>
      <c r="G20" s="5">
        <f>IFERROR(IF('Fertilizer Cost Calculator'!$C21="","",'Fertilizer Cost Calculator'!$C21/('Fertilizer Cost Calculator'!H21/100*2205)),"-")</f>
        <v>1.8896447467876041</v>
      </c>
      <c r="H20" s="62">
        <f>IFERROR(IF('Fertilizer Cost Calculator'!$C21="","",'Fertilizer Cost Calculator'!$C21/('Fertilizer Cost Calculator'!I21/100*2205)),"-")</f>
        <v>1.4172335600907031</v>
      </c>
      <c r="I20" s="17"/>
    </row>
    <row r="21" spans="1:25" ht="15.6">
      <c r="D21" s="5">
        <f>IFERROR(IF('Fertilizer Cost Calculator'!$C22="","",'Fertilizer Cost Calculator'!$C22/('Fertilizer Cost Calculator'!E22/100*2205)),"-")</f>
        <v>0.85367480325463518</v>
      </c>
      <c r="E21" s="5" t="str">
        <f>IFERROR(IF('Fertilizer Cost Calculator'!$C22="","",'Fertilizer Cost Calculator'!$C22/('Fertilizer Cost Calculator'!F22/100*2205)),"-")</f>
        <v>-</v>
      </c>
      <c r="F21" s="5" t="str">
        <f>IFERROR(IF('Fertilizer Cost Calculator'!$C22="","",'Fertilizer Cost Calculator'!$C22/('Fertilizer Cost Calculator'!G22/100*2205)),"-")</f>
        <v>-</v>
      </c>
      <c r="G21" s="5" t="str">
        <f>IFERROR(IF('Fertilizer Cost Calculator'!$C22="","",'Fertilizer Cost Calculator'!$C22/('Fertilizer Cost Calculator'!H22/100*2205)),"-")</f>
        <v>-</v>
      </c>
      <c r="H21" s="62" t="str">
        <f>IFERROR(IF('Fertilizer Cost Calculator'!$C22="","",'Fertilizer Cost Calculator'!$C22/('Fertilizer Cost Calculator'!I22/100*2205)),"-")</f>
        <v>-</v>
      </c>
      <c r="I21" s="17"/>
    </row>
    <row r="22" spans="1:25" ht="15.6">
      <c r="D22" s="5" t="str">
        <f>IFERROR(IF('Fertilizer Cost Calculator'!$C23="","",'Fertilizer Cost Calculator'!$C23/('Fertilizer Cost Calculator'!E23/100*2205)),"-")</f>
        <v>-</v>
      </c>
      <c r="E22" s="5">
        <f>IFERROR(IF('Fertilizer Cost Calculator'!$C23="","",'Fertilizer Cost Calculator'!$C23/('Fertilizer Cost Calculator'!F23/100*2205)),"-")</f>
        <v>5.0793650793650791</v>
      </c>
      <c r="F22" s="5">
        <f>IFERROR(IF('Fertilizer Cost Calculator'!$C23="","",'Fertilizer Cost Calculator'!$C23/('Fertilizer Cost Calculator'!G23/100*2205)),"-")</f>
        <v>1.0582010582010584</v>
      </c>
      <c r="G22" s="5" t="str">
        <f>IFERROR(IF('Fertilizer Cost Calculator'!$C23="","",'Fertilizer Cost Calculator'!$C23/('Fertilizer Cost Calculator'!H23/100*2205)),"-")</f>
        <v>-</v>
      </c>
      <c r="H22" s="62" t="str">
        <f>IFERROR(IF('Fertilizer Cost Calculator'!$C23="","",'Fertilizer Cost Calculator'!$C23/('Fertilizer Cost Calculator'!I23/100*2205)),"-")</f>
        <v>-</v>
      </c>
      <c r="I22" s="17"/>
    </row>
    <row r="23" spans="1:25" ht="16.2" thickBot="1">
      <c r="D23" s="63" t="str">
        <f>IFERROR(IF('Fertilizer Cost Calculator'!$C24="","",'Fertilizer Cost Calculator'!$C24/('Fertilizer Cost Calculator'!E24/100*2205)),"-")</f>
        <v/>
      </c>
      <c r="E23" s="63" t="str">
        <f>IFERROR(IF('Fertilizer Cost Calculator'!$C24="","",'Fertilizer Cost Calculator'!$C24/('Fertilizer Cost Calculator'!F24/100*2205)),"-")</f>
        <v/>
      </c>
      <c r="F23" s="63" t="str">
        <f>IFERROR(IF('Fertilizer Cost Calculator'!$C24="","",'Fertilizer Cost Calculator'!$C24/('Fertilizer Cost Calculator'!G24/100*2205)),"-")</f>
        <v/>
      </c>
      <c r="G23" s="63" t="str">
        <f>IFERROR(IF('Fertilizer Cost Calculator'!$C24="","",'Fertilizer Cost Calculator'!$C24/('Fertilizer Cost Calculator'!H24/100*2205)),"-")</f>
        <v/>
      </c>
      <c r="H23" s="63" t="str">
        <f>IFERROR(IF('Fertilizer Cost Calculator'!$C24="","",'Fertilizer Cost Calculator'!$C24/('Fertilizer Cost Calculator'!I24/100*2205)),"-")</f>
        <v/>
      </c>
      <c r="I23" s="17"/>
    </row>
    <row r="24" spans="1:25">
      <c r="D24" s="18"/>
      <c r="E24" s="18"/>
      <c r="F24" s="18"/>
      <c r="G24" s="18"/>
      <c r="H24" s="18"/>
    </row>
  </sheetData>
  <sheetProtection algorithmName="SHA-512" hashValue="O2CVkDwYalJJ1mQBQVeIhm5LE7R6BNNHOq8mra7Vjt2aEh6twh5ECzLTZc1rQY1JUCn6pXR/43z1je+AlZky5A==" saltValue="FCo/tOnykuGs9Oi0g3zNew==" spinCount="100000" sheet="1" objects="1" scenarios="1"/>
  <mergeCells count="9">
    <mergeCell ref="L17:S19"/>
    <mergeCell ref="T4:T5"/>
    <mergeCell ref="U4:U5"/>
    <mergeCell ref="O1:S1"/>
    <mergeCell ref="D3:H4"/>
    <mergeCell ref="N4:N5"/>
    <mergeCell ref="O4:S4"/>
    <mergeCell ref="L4:L5"/>
    <mergeCell ref="M4:M5"/>
  </mergeCells>
  <conditionalFormatting sqref="D6:H23">
    <cfRule type="cellIs" dxfId="3" priority="4" operator="between">
      <formula>0.0001</formula>
      <formula>999999</formula>
    </cfRule>
  </conditionalFormatting>
  <conditionalFormatting sqref="O14:S14">
    <cfRule type="cellIs" dxfId="2" priority="1" operator="lessThan">
      <formula>-5</formula>
    </cfRule>
    <cfRule type="cellIs" dxfId="1" priority="2" operator="greaterThan">
      <formula>5</formula>
    </cfRule>
    <cfRule type="cellIs" dxfId="0" priority="3" operator="between">
      <formula>-5</formula>
      <formula>5</formula>
    </cfRule>
  </conditionalFormatting>
  <dataValidations count="2">
    <dataValidation type="list" allowBlank="1" showInputMessage="1" showErrorMessage="1" sqref="V2" xr:uid="{1CAFB694-9D24-4AEC-9F7C-E5E5E104D6B4}">
      <formula1>$D$5:$H$5</formula1>
    </dataValidation>
    <dataValidation type="list" sqref="U2" xr:uid="{00000000-0002-0000-0400-000000000000}">
      <formula1>$D$7:$D$21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AC801-6603-4FAB-A9A0-6467B0699C7E}">
  <dimension ref="A1:I2"/>
  <sheetViews>
    <sheetView workbookViewId="0">
      <selection activeCell="E14" sqref="E14"/>
    </sheetView>
  </sheetViews>
  <sheetFormatPr defaultRowHeight="13.8"/>
  <cols>
    <col min="1" max="16384" width="8.796875" style="209"/>
  </cols>
  <sheetData>
    <row r="1" spans="1:9" s="208" customFormat="1" ht="36" customHeight="1">
      <c r="A1" s="210" t="s">
        <v>67</v>
      </c>
      <c r="B1" s="210"/>
      <c r="C1" s="210"/>
      <c r="D1" s="210"/>
      <c r="E1" s="210"/>
      <c r="F1" s="210"/>
      <c r="G1" s="210"/>
      <c r="H1" s="210"/>
      <c r="I1" s="210"/>
    </row>
    <row r="2" spans="1:9" ht="25.8" customHeight="1">
      <c r="A2" s="211" t="s">
        <v>66</v>
      </c>
      <c r="B2" s="211"/>
      <c r="C2" s="211"/>
      <c r="D2" s="211"/>
      <c r="E2" s="211"/>
      <c r="F2" s="211"/>
      <c r="G2" s="211"/>
      <c r="H2" s="211"/>
      <c r="I2" s="211"/>
    </row>
  </sheetData>
  <sheetProtection algorithmName="SHA-512" hashValue="B2AkmPHPANVZO8sE0ZbvFqBDUK/mYSSBIPFc9IA8wgj+IFOLJYjQoxNFlVkUcLaWGrFP1CcAprMZ7OBVBvXukw==" saltValue="EoMcNwg6RXo+r4MgbfC6Bw==" spinCount="100000" sheet="1" objects="1" scenarios="1"/>
  <mergeCells count="1"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Fertilizer Cost Calculator</vt:lpstr>
      <vt:lpstr>BackEnd</vt:lpstr>
      <vt:lpstr>User's 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Lasisi, Ahmed AF:EX</dc:creator>
  <cp:keywords/>
  <dc:description/>
  <cp:lastModifiedBy>Lasisi, Ahmed AF:EX</cp:lastModifiedBy>
  <cp:revision/>
  <dcterms:created xsi:type="dcterms:W3CDTF">2026-04-07T23:39:01Z</dcterms:created>
  <dcterms:modified xsi:type="dcterms:W3CDTF">2026-04-17T22:35:23Z</dcterms:modified>
  <cp:category/>
  <cp:contentStatus/>
</cp:coreProperties>
</file>